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7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ug\Workshops\Valuation\"/>
    </mc:Choice>
  </mc:AlternateContent>
  <xr:revisionPtr revIDLastSave="0" documentId="8_{5E2C1D8D-4941-433D-90D6-29C15EB16263}" xr6:coauthVersionLast="40" xr6:coauthVersionMax="40" xr10:uidLastSave="{00000000-0000-0000-0000-000000000000}"/>
  <bookViews>
    <workbookView xWindow="8940" yWindow="2460" windowWidth="24150" windowHeight="14985" tabRatio="672" firstSheet="9" activeTab="12" xr2:uid="{00000000-000D-0000-FFFF-FFFF00000000}"/>
  </bookViews>
  <sheets>
    <sheet name="Overview" sheetId="5" r:id="rId1"/>
    <sheet name="Revenue" sheetId="10" r:id="rId2"/>
    <sheet name="Bottom Up Revenue-24mths" sheetId="19" r:id="rId3"/>
    <sheet name="Manpower" sheetId="15" r:id="rId4"/>
    <sheet name="Expenditure-24mths" sheetId="16" r:id="rId5"/>
    <sheet name="Expenditure" sheetId="17" r:id="rId6"/>
    <sheet name="Costing" sheetId="11" r:id="rId7"/>
    <sheet name="Inputs" sheetId="1" r:id="rId8"/>
    <sheet name="Cashflow Budget" sheetId="18" r:id="rId9"/>
    <sheet name="Financials" sheetId="2" r:id="rId10"/>
    <sheet name="Investor ROI and dilution" sheetId="4" r:id="rId11"/>
    <sheet name="Valuation sensitivity" sheetId="3" r:id="rId12"/>
    <sheet name="Charts" sheetId="13" r:id="rId13"/>
    <sheet name="Valuation - VC method" sheetId="7" r:id="rId14"/>
    <sheet name="Business model charts" sheetId="6" r:id="rId15"/>
    <sheet name="Comparables" sheetId="12" r:id="rId16"/>
    <sheet name="Actual" sheetId="14" r:id="rId17"/>
  </sheets>
  <externalReferences>
    <externalReference r:id="rId18"/>
  </externalReferences>
  <definedNames>
    <definedName name="DiscountEnd1Middle2">'Valuation sensitivity'!$E$66</definedName>
    <definedName name="DiscountPeriods">'Valuation sensitivity'!$E$69</definedName>
    <definedName name="new">'Valuation sensitivity'!$E$66</definedName>
    <definedName name="PortionInDeal">'Valuation sensitivity'!$E$65</definedName>
    <definedName name="solver_adj" localSheetId="6" hidden="1">Costing!#REF!</definedName>
    <definedName name="solver_adj" localSheetId="7" hidden="1">Inputs!$C$15:$G$15</definedName>
    <definedName name="solver_adj" localSheetId="10" hidden="1">'Investor ROI and dilution'!$D$44</definedName>
    <definedName name="solver_cvg" localSheetId="6" hidden="1">0.0001</definedName>
    <definedName name="solver_cvg" localSheetId="7" hidden="1">0.0001</definedName>
    <definedName name="solver_cvg" localSheetId="10" hidden="1">0.001</definedName>
    <definedName name="solver_drv" localSheetId="6" hidden="1">1</definedName>
    <definedName name="solver_drv" localSheetId="7" hidden="1">1</definedName>
    <definedName name="solver_drv" localSheetId="10" hidden="1">1</definedName>
    <definedName name="solver_eng" localSheetId="7" hidden="1">1</definedName>
    <definedName name="solver_est" localSheetId="6" hidden="1">1</definedName>
    <definedName name="solver_est" localSheetId="7" hidden="1">1</definedName>
    <definedName name="solver_est" localSheetId="10" hidden="1">1</definedName>
    <definedName name="solver_itr" localSheetId="6" hidden="1">100</definedName>
    <definedName name="solver_itr" localSheetId="7" hidden="1">100</definedName>
    <definedName name="solver_itr" localSheetId="10" hidden="1">100</definedName>
    <definedName name="solver_lhs1" localSheetId="6" hidden="1">Costing!#REF!</definedName>
    <definedName name="solver_lhs1" localSheetId="7" hidden="1">Inputs!$C$50</definedName>
    <definedName name="solver_lhs2" localSheetId="6" hidden="1">Costing!#REF!</definedName>
    <definedName name="solver_lhs2" localSheetId="7" hidden="1">Inputs!$D$50</definedName>
    <definedName name="solver_lhs3" localSheetId="7" hidden="1">Inputs!$E$50</definedName>
    <definedName name="solver_lhs4" localSheetId="7" hidden="1">Inputs!$F$50</definedName>
    <definedName name="solver_lhs5" localSheetId="7" hidden="1">Inputs!$G$50</definedName>
    <definedName name="solver_lin" localSheetId="6" hidden="1">2</definedName>
    <definedName name="solver_lin" localSheetId="7" hidden="1">2</definedName>
    <definedName name="solver_lin" localSheetId="10" hidden="1">2</definedName>
    <definedName name="solver_mip" localSheetId="7" hidden="1">2147483647</definedName>
    <definedName name="solver_mni" localSheetId="7" hidden="1">30</definedName>
    <definedName name="solver_mrt" localSheetId="7" hidden="1">0.075</definedName>
    <definedName name="solver_msl" localSheetId="7" hidden="1">2</definedName>
    <definedName name="solver_neg" localSheetId="6" hidden="1">2</definedName>
    <definedName name="solver_neg" localSheetId="7" hidden="1">2</definedName>
    <definedName name="solver_neg" localSheetId="10" hidden="1">2</definedName>
    <definedName name="solver_nod" localSheetId="7" hidden="1">2147483647</definedName>
    <definedName name="solver_num" localSheetId="6" hidden="1">2</definedName>
    <definedName name="solver_num" localSheetId="7" hidden="1">5</definedName>
    <definedName name="solver_num" localSheetId="10" hidden="1">0</definedName>
    <definedName name="solver_nwt" localSheetId="6" hidden="1">1</definedName>
    <definedName name="solver_nwt" localSheetId="7" hidden="1">1</definedName>
    <definedName name="solver_nwt" localSheetId="10" hidden="1">1</definedName>
    <definedName name="solver_opt" localSheetId="6" hidden="1">Costing!#REF!</definedName>
    <definedName name="solver_opt" localSheetId="7" hidden="1">Inputs!$H$50</definedName>
    <definedName name="solver_opt" localSheetId="10" hidden="1">'Investor ROI and dilution'!$D$51</definedName>
    <definedName name="solver_pre" localSheetId="6" hidden="1">0.000001</definedName>
    <definedName name="solver_pre" localSheetId="7" hidden="1">0.000001</definedName>
    <definedName name="solver_pre" localSheetId="10" hidden="1">0.000001</definedName>
    <definedName name="solver_rbv" localSheetId="7" hidden="1">1</definedName>
    <definedName name="solver_rel1" localSheetId="6" hidden="1">2</definedName>
    <definedName name="solver_rel1" localSheetId="7" hidden="1">1</definedName>
    <definedName name="solver_rel2" localSheetId="6" hidden="1">2</definedName>
    <definedName name="solver_rel2" localSheetId="7" hidden="1">1</definedName>
    <definedName name="solver_rel3" localSheetId="7" hidden="1">1</definedName>
    <definedName name="solver_rel4" localSheetId="7" hidden="1">1</definedName>
    <definedName name="solver_rel5" localSheetId="7" hidden="1">1</definedName>
    <definedName name="solver_rhs1" localSheetId="6" hidden="1">0</definedName>
    <definedName name="solver_rhs1" localSheetId="7" hidden="1">0</definedName>
    <definedName name="solver_rhs2" localSheetId="6" hidden="1">0</definedName>
    <definedName name="solver_rhs2" localSheetId="7" hidden="1">0</definedName>
    <definedName name="solver_rhs3" localSheetId="7" hidden="1">0</definedName>
    <definedName name="solver_rhs4" localSheetId="7" hidden="1">0</definedName>
    <definedName name="solver_rhs5" localSheetId="7" hidden="1">0</definedName>
    <definedName name="solver_rlx" localSheetId="7" hidden="1">1</definedName>
    <definedName name="solver_rsd" localSheetId="7" hidden="1">0</definedName>
    <definedName name="solver_scl" localSheetId="6" hidden="1">2</definedName>
    <definedName name="solver_scl" localSheetId="7" hidden="1">2</definedName>
    <definedName name="solver_scl" localSheetId="10" hidden="1">2</definedName>
    <definedName name="solver_sho" localSheetId="6" hidden="1">2</definedName>
    <definedName name="solver_sho" localSheetId="7" hidden="1">2</definedName>
    <definedName name="solver_sho" localSheetId="10" hidden="1">2</definedName>
    <definedName name="solver_ssz" localSheetId="7" hidden="1">100</definedName>
    <definedName name="solver_tim" localSheetId="6" hidden="1">100</definedName>
    <definedName name="solver_tim" localSheetId="7" hidden="1">100</definedName>
    <definedName name="solver_tim" localSheetId="10" hidden="1">100</definedName>
    <definedName name="solver_tol" localSheetId="6" hidden="1">0.05</definedName>
    <definedName name="solver_tol" localSheetId="7" hidden="1">0.05</definedName>
    <definedName name="solver_tol" localSheetId="10" hidden="1">0.05</definedName>
    <definedName name="solver_typ" localSheetId="6" hidden="1">3</definedName>
    <definedName name="solver_typ" localSheetId="7" hidden="1">3</definedName>
    <definedName name="solver_typ" localSheetId="10" hidden="1">3</definedName>
    <definedName name="solver_val" localSheetId="6" hidden="1">0</definedName>
    <definedName name="solver_val" localSheetId="7" hidden="1">0</definedName>
    <definedName name="solver_val" localSheetId="10" hidden="1">0.5</definedName>
    <definedName name="solver_ver" localSheetId="7" hidden="1">3</definedName>
    <definedName name="TVButton">[1]ValuationInput!$D$55</definedName>
    <definedName name="TVMultInputs">[1]ValuationInput!$D$58</definedName>
    <definedName name="TVTitles">[1]ValuationInput!$D$56</definedName>
    <definedName name="WACC">[1]ValuationInput!$F$30</definedName>
    <definedName name="WACCIncrement">[1]ValuationInput!$F$50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 l="1"/>
  <c r="D2" i="19" s="1"/>
  <c r="E5" i="16" s="1"/>
  <c r="C4" i="19"/>
  <c r="C8" i="19" s="1"/>
  <c r="C6" i="19"/>
  <c r="D6" i="19" s="1"/>
  <c r="E6" i="19" s="1"/>
  <c r="F6" i="19" s="1"/>
  <c r="G6" i="19" s="1"/>
  <c r="H6" i="19" s="1"/>
  <c r="I6" i="19" s="1"/>
  <c r="J6" i="19" s="1"/>
  <c r="K6" i="19" s="1"/>
  <c r="L6" i="19" s="1"/>
  <c r="M6" i="19" s="1"/>
  <c r="N6" i="19" s="1"/>
  <c r="C10" i="19"/>
  <c r="C12" i="19"/>
  <c r="C16" i="19"/>
  <c r="D16" i="19" s="1"/>
  <c r="E16" i="19" s="1"/>
  <c r="C18" i="19"/>
  <c r="D18" i="19" s="1"/>
  <c r="E18" i="19" s="1"/>
  <c r="C30" i="18"/>
  <c r="D4" i="19"/>
  <c r="D10" i="19"/>
  <c r="E10" i="19" s="1"/>
  <c r="F10" i="19" s="1"/>
  <c r="D20" i="19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B8" i="19"/>
  <c r="B21" i="19" s="1"/>
  <c r="B14" i="19"/>
  <c r="B20" i="19"/>
  <c r="B30" i="18"/>
  <c r="D5" i="16"/>
  <c r="C5" i="16"/>
  <c r="Q10" i="16"/>
  <c r="Q11" i="16"/>
  <c r="Q9" i="16" s="1"/>
  <c r="Q7" i="16" s="1"/>
  <c r="O24" i="18" s="1"/>
  <c r="O25" i="18" s="1"/>
  <c r="Q12" i="16"/>
  <c r="Q14" i="16"/>
  <c r="Q15" i="16"/>
  <c r="Q16" i="16"/>
  <c r="Q13" i="16" s="1"/>
  <c r="Q17" i="16"/>
  <c r="Q19" i="16"/>
  <c r="Q18" i="16"/>
  <c r="Q24" i="16"/>
  <c r="Q23" i="16" s="1"/>
  <c r="R10" i="16"/>
  <c r="R11" i="16"/>
  <c r="R12" i="16"/>
  <c r="R9" i="16" s="1"/>
  <c r="R14" i="16"/>
  <c r="R13" i="16" s="1"/>
  <c r="R15" i="16"/>
  <c r="R16" i="16"/>
  <c r="R17" i="16"/>
  <c r="R19" i="16"/>
  <c r="R18" i="16"/>
  <c r="R24" i="16"/>
  <c r="R23" i="16" s="1"/>
  <c r="S10" i="16"/>
  <c r="S9" i="16" s="1"/>
  <c r="S11" i="16"/>
  <c r="S12" i="16"/>
  <c r="S14" i="16"/>
  <c r="S13" i="16" s="1"/>
  <c r="S15" i="16"/>
  <c r="S16" i="16"/>
  <c r="S17" i="16"/>
  <c r="S19" i="16"/>
  <c r="S18" i="16"/>
  <c r="S24" i="16"/>
  <c r="S23" i="16"/>
  <c r="T10" i="16"/>
  <c r="T9" i="16" s="1"/>
  <c r="T11" i="16"/>
  <c r="T12" i="16"/>
  <c r="T14" i="16"/>
  <c r="T15" i="16"/>
  <c r="T16" i="16"/>
  <c r="T17" i="16"/>
  <c r="T13" i="16" s="1"/>
  <c r="T19" i="16"/>
  <c r="T18" i="16"/>
  <c r="T24" i="16"/>
  <c r="T23" i="16" s="1"/>
  <c r="U10" i="16"/>
  <c r="U11" i="16"/>
  <c r="U12" i="16"/>
  <c r="U9" i="16"/>
  <c r="U14" i="16"/>
  <c r="U13" i="16" s="1"/>
  <c r="U15" i="16"/>
  <c r="U16" i="16"/>
  <c r="U17" i="16"/>
  <c r="U19" i="16"/>
  <c r="U18" i="16"/>
  <c r="U24" i="16"/>
  <c r="U23" i="16" s="1"/>
  <c r="V10" i="16"/>
  <c r="V11" i="16"/>
  <c r="V12" i="16"/>
  <c r="V9" i="16"/>
  <c r="V14" i="16"/>
  <c r="V13" i="16" s="1"/>
  <c r="V7" i="16" s="1"/>
  <c r="T24" i="18" s="1"/>
  <c r="T25" i="18" s="1"/>
  <c r="V15" i="16"/>
  <c r="V16" i="16"/>
  <c r="V17" i="16"/>
  <c r="V19" i="16"/>
  <c r="V18" i="16" s="1"/>
  <c r="V24" i="16"/>
  <c r="V23" i="16"/>
  <c r="W10" i="16"/>
  <c r="W9" i="16" s="1"/>
  <c r="W7" i="16" s="1"/>
  <c r="U24" i="18" s="1"/>
  <c r="U25" i="18" s="1"/>
  <c r="W11" i="16"/>
  <c r="W12" i="16"/>
  <c r="W14" i="16"/>
  <c r="W15" i="16"/>
  <c r="W16" i="16"/>
  <c r="W17" i="16"/>
  <c r="W13" i="16"/>
  <c r="W19" i="16"/>
  <c r="W18" i="16" s="1"/>
  <c r="W24" i="16"/>
  <c r="W23" i="16"/>
  <c r="X10" i="16"/>
  <c r="X11" i="16"/>
  <c r="X12" i="16"/>
  <c r="X9" i="16"/>
  <c r="X14" i="16"/>
  <c r="X13" i="16" s="1"/>
  <c r="X7" i="16" s="1"/>
  <c r="V24" i="18" s="1"/>
  <c r="V25" i="18" s="1"/>
  <c r="X15" i="16"/>
  <c r="X16" i="16"/>
  <c r="X17" i="16"/>
  <c r="X19" i="16"/>
  <c r="X18" i="16" s="1"/>
  <c r="X24" i="16"/>
  <c r="X23" i="16"/>
  <c r="Y10" i="16"/>
  <c r="Y11" i="16"/>
  <c r="Y12" i="16"/>
  <c r="Y9" i="16"/>
  <c r="Y14" i="16"/>
  <c r="Y13" i="16" s="1"/>
  <c r="Y7" i="16" s="1"/>
  <c r="W24" i="18" s="1"/>
  <c r="W25" i="18" s="1"/>
  <c r="Y15" i="16"/>
  <c r="Y16" i="16"/>
  <c r="Y17" i="16"/>
  <c r="Y19" i="16"/>
  <c r="Y18" i="16" s="1"/>
  <c r="Y24" i="16"/>
  <c r="Y23" i="16"/>
  <c r="Z10" i="16"/>
  <c r="Z11" i="16"/>
  <c r="Z12" i="16"/>
  <c r="Z14" i="16"/>
  <c r="Z13" i="16" s="1"/>
  <c r="Z15" i="16"/>
  <c r="Z16" i="16"/>
  <c r="Z17" i="16"/>
  <c r="Z19" i="16"/>
  <c r="Z18" i="16" s="1"/>
  <c r="Z24" i="16"/>
  <c r="Z23" i="16"/>
  <c r="AA10" i="16"/>
  <c r="AA11" i="16"/>
  <c r="AA12" i="16"/>
  <c r="AA14" i="16"/>
  <c r="AA15" i="16"/>
  <c r="AA16" i="16"/>
  <c r="AA17" i="16"/>
  <c r="AA19" i="16"/>
  <c r="AA18" i="16" s="1"/>
  <c r="AA24" i="16"/>
  <c r="AA23" i="16"/>
  <c r="C13" i="15"/>
  <c r="B13" i="15"/>
  <c r="C14" i="15" s="1"/>
  <c r="B27" i="15"/>
  <c r="B31" i="15"/>
  <c r="C31" i="15"/>
  <c r="P76" i="16" s="1"/>
  <c r="P17" i="16" s="1"/>
  <c r="C33" i="15"/>
  <c r="P19" i="16"/>
  <c r="P18" i="16" s="1"/>
  <c r="P24" i="16"/>
  <c r="P23" i="16"/>
  <c r="D10" i="16"/>
  <c r="D11" i="16"/>
  <c r="D9" i="16" s="1"/>
  <c r="D7" i="16" s="1"/>
  <c r="C24" i="18" s="1"/>
  <c r="D12" i="16"/>
  <c r="D14" i="16"/>
  <c r="D13" i="16" s="1"/>
  <c r="D15" i="16"/>
  <c r="D16" i="16"/>
  <c r="D17" i="16"/>
  <c r="D19" i="16"/>
  <c r="D18" i="16" s="1"/>
  <c r="D24" i="16"/>
  <c r="D23" i="16"/>
  <c r="E10" i="16"/>
  <c r="E11" i="16"/>
  <c r="E12" i="16"/>
  <c r="E9" i="16" s="1"/>
  <c r="E7" i="16" s="1"/>
  <c r="D24" i="18" s="1"/>
  <c r="D25" i="18" s="1"/>
  <c r="E14" i="16"/>
  <c r="E13" i="16" s="1"/>
  <c r="E15" i="16"/>
  <c r="E16" i="16"/>
  <c r="E17" i="16"/>
  <c r="E19" i="16"/>
  <c r="E18" i="16"/>
  <c r="E24" i="16"/>
  <c r="E23" i="16" s="1"/>
  <c r="F10" i="16"/>
  <c r="F11" i="16"/>
  <c r="F12" i="16"/>
  <c r="F9" i="16"/>
  <c r="F14" i="16"/>
  <c r="F15" i="16"/>
  <c r="F16" i="16"/>
  <c r="F17" i="16"/>
  <c r="F19" i="16"/>
  <c r="F18" i="16"/>
  <c r="F24" i="16"/>
  <c r="F23" i="16" s="1"/>
  <c r="G10" i="16"/>
  <c r="G11" i="16"/>
  <c r="G12" i="16"/>
  <c r="G9" i="16" s="1"/>
  <c r="G14" i="16"/>
  <c r="G15" i="16"/>
  <c r="G16" i="16"/>
  <c r="G17" i="16"/>
  <c r="G19" i="16"/>
  <c r="G18" i="16"/>
  <c r="G24" i="16"/>
  <c r="G23" i="16" s="1"/>
  <c r="H10" i="16"/>
  <c r="H11" i="16"/>
  <c r="H12" i="16"/>
  <c r="H9" i="16" s="1"/>
  <c r="H7" i="16" s="1"/>
  <c r="G24" i="18" s="1"/>
  <c r="G25" i="18" s="1"/>
  <c r="H14" i="16"/>
  <c r="H13" i="16" s="1"/>
  <c r="H15" i="16"/>
  <c r="H16" i="16"/>
  <c r="H17" i="16"/>
  <c r="H19" i="16"/>
  <c r="H18" i="16"/>
  <c r="H24" i="16"/>
  <c r="H23" i="16" s="1"/>
  <c r="I10" i="16"/>
  <c r="I11" i="16"/>
  <c r="I12" i="16"/>
  <c r="I9" i="16"/>
  <c r="I14" i="16"/>
  <c r="I13" i="16" s="1"/>
  <c r="I15" i="16"/>
  <c r="I16" i="16"/>
  <c r="I17" i="16"/>
  <c r="I19" i="16"/>
  <c r="I18" i="16"/>
  <c r="I24" i="16"/>
  <c r="I23" i="16" s="1"/>
  <c r="O23" i="16" s="1"/>
  <c r="J10" i="16"/>
  <c r="J9" i="16" s="1"/>
  <c r="J11" i="16"/>
  <c r="J12" i="16"/>
  <c r="J14" i="16"/>
  <c r="J15" i="16"/>
  <c r="J16" i="16"/>
  <c r="J13" i="16" s="1"/>
  <c r="J17" i="16"/>
  <c r="J19" i="16"/>
  <c r="J18" i="16" s="1"/>
  <c r="J24" i="16"/>
  <c r="J23" i="16"/>
  <c r="K10" i="16"/>
  <c r="K9" i="16" s="1"/>
  <c r="K11" i="16"/>
  <c r="K12" i="16"/>
  <c r="K14" i="16"/>
  <c r="K15" i="16"/>
  <c r="K16" i="16"/>
  <c r="K17" i="16"/>
  <c r="K13" i="16"/>
  <c r="K19" i="16"/>
  <c r="K18" i="16"/>
  <c r="K24" i="16"/>
  <c r="K23" i="16" s="1"/>
  <c r="L10" i="16"/>
  <c r="L11" i="16"/>
  <c r="L12" i="16"/>
  <c r="L9" i="16"/>
  <c r="L14" i="16"/>
  <c r="L15" i="16"/>
  <c r="L16" i="16"/>
  <c r="L17" i="16"/>
  <c r="L13" i="16" s="1"/>
  <c r="L19" i="16"/>
  <c r="L18" i="16" s="1"/>
  <c r="L24" i="16"/>
  <c r="L23" i="16"/>
  <c r="M10" i="16"/>
  <c r="M11" i="16"/>
  <c r="M12" i="16"/>
  <c r="M14" i="16"/>
  <c r="M13" i="16" s="1"/>
  <c r="M15" i="16"/>
  <c r="M16" i="16"/>
  <c r="M17" i="16"/>
  <c r="M19" i="16"/>
  <c r="M18" i="16" s="1"/>
  <c r="M24" i="16"/>
  <c r="M23" i="16"/>
  <c r="N10" i="16"/>
  <c r="N11" i="16"/>
  <c r="N12" i="16"/>
  <c r="N14" i="16"/>
  <c r="N15" i="16"/>
  <c r="N16" i="16"/>
  <c r="N17" i="16"/>
  <c r="N13" i="16"/>
  <c r="N19" i="16"/>
  <c r="N18" i="16" s="1"/>
  <c r="N24" i="16"/>
  <c r="N23" i="16"/>
  <c r="C69" i="16"/>
  <c r="C10" i="16" s="1"/>
  <c r="C9" i="16" s="1"/>
  <c r="C70" i="16"/>
  <c r="C11" i="16"/>
  <c r="C71" i="16"/>
  <c r="C12" i="16" s="1"/>
  <c r="C74" i="16"/>
  <c r="C15" i="16"/>
  <c r="C75" i="16"/>
  <c r="C16" i="16" s="1"/>
  <c r="B33" i="15"/>
  <c r="C76" i="16"/>
  <c r="C17" i="16" s="1"/>
  <c r="C19" i="16"/>
  <c r="C18" i="16"/>
  <c r="C24" i="16"/>
  <c r="C23" i="16" s="1"/>
  <c r="Q45" i="16"/>
  <c r="Q47" i="16"/>
  <c r="Q50" i="16"/>
  <c r="Q51" i="16"/>
  <c r="Q52" i="16"/>
  <c r="P118" i="16"/>
  <c r="R118" i="16" s="1"/>
  <c r="Q118" i="16"/>
  <c r="Q53" i="16" s="1"/>
  <c r="Q54" i="16"/>
  <c r="Q55" i="16"/>
  <c r="Q56" i="16"/>
  <c r="R45" i="16"/>
  <c r="P18" i="18" s="1"/>
  <c r="R47" i="16"/>
  <c r="P17" i="18" s="1"/>
  <c r="R50" i="16"/>
  <c r="R51" i="16"/>
  <c r="R52" i="16"/>
  <c r="R53" i="16"/>
  <c r="R54" i="16"/>
  <c r="R55" i="16"/>
  <c r="R56" i="16"/>
  <c r="R44" i="16" s="1"/>
  <c r="P19" i="18" s="1"/>
  <c r="S45" i="16"/>
  <c r="S47" i="16"/>
  <c r="S50" i="16"/>
  <c r="S51" i="16"/>
  <c r="S44" i="16" s="1"/>
  <c r="Q19" i="18" s="1"/>
  <c r="S52" i="16"/>
  <c r="Q18" i="18" s="1"/>
  <c r="S118" i="16"/>
  <c r="S53" i="16" s="1"/>
  <c r="S54" i="16"/>
  <c r="S55" i="16"/>
  <c r="S56" i="16"/>
  <c r="T45" i="16"/>
  <c r="T47" i="16"/>
  <c r="T50" i="16"/>
  <c r="T51" i="16"/>
  <c r="T52" i="16"/>
  <c r="T54" i="16"/>
  <c r="T55" i="16"/>
  <c r="T56" i="16"/>
  <c r="U45" i="16"/>
  <c r="U47" i="16"/>
  <c r="U50" i="16"/>
  <c r="U51" i="16"/>
  <c r="U44" i="16" s="1"/>
  <c r="S19" i="18" s="1"/>
  <c r="U52" i="16"/>
  <c r="U118" i="16"/>
  <c r="U53" i="16"/>
  <c r="U54" i="16"/>
  <c r="U55" i="16"/>
  <c r="U56" i="16"/>
  <c r="V45" i="16"/>
  <c r="V47" i="16"/>
  <c r="V50" i="16"/>
  <c r="V51" i="16"/>
  <c r="V52" i="16"/>
  <c r="V54" i="16"/>
  <c r="V55" i="16"/>
  <c r="V56" i="16"/>
  <c r="T20" i="18" s="1"/>
  <c r="W45" i="16"/>
  <c r="W47" i="16"/>
  <c r="W50" i="16"/>
  <c r="W51" i="16"/>
  <c r="W52" i="16"/>
  <c r="W44" i="16" s="1"/>
  <c r="U19" i="18" s="1"/>
  <c r="W118" i="16"/>
  <c r="W53" i="16" s="1"/>
  <c r="W54" i="16"/>
  <c r="W55" i="16"/>
  <c r="W56" i="16"/>
  <c r="X45" i="16"/>
  <c r="X47" i="16"/>
  <c r="X50" i="16"/>
  <c r="X51" i="16"/>
  <c r="X52" i="16"/>
  <c r="X54" i="16"/>
  <c r="X55" i="16"/>
  <c r="X56" i="16"/>
  <c r="Y45" i="16"/>
  <c r="Y47" i="16"/>
  <c r="Y50" i="16"/>
  <c r="Y51" i="16"/>
  <c r="Y44" i="16" s="1"/>
  <c r="W19" i="18" s="1"/>
  <c r="Y52" i="16"/>
  <c r="Y118" i="16"/>
  <c r="Y53" i="16"/>
  <c r="Y54" i="16"/>
  <c r="Y55" i="16"/>
  <c r="Y56" i="16"/>
  <c r="Z45" i="16"/>
  <c r="X18" i="18" s="1"/>
  <c r="Z47" i="16"/>
  <c r="X17" i="18" s="1"/>
  <c r="Z50" i="16"/>
  <c r="Z51" i="16"/>
  <c r="Z52" i="16"/>
  <c r="Z54" i="16"/>
  <c r="Z55" i="16"/>
  <c r="Z56" i="16"/>
  <c r="AA45" i="16"/>
  <c r="AA47" i="16"/>
  <c r="AA50" i="16"/>
  <c r="AA51" i="16"/>
  <c r="AA52" i="16"/>
  <c r="Y18" i="18" s="1"/>
  <c r="AA118" i="16"/>
  <c r="AA53" i="16"/>
  <c r="AA44" i="16" s="1"/>
  <c r="Y19" i="18" s="1"/>
  <c r="AA54" i="16"/>
  <c r="AA55" i="16"/>
  <c r="AA56" i="16"/>
  <c r="O20" i="18"/>
  <c r="P20" i="18"/>
  <c r="Q20" i="18"/>
  <c r="R20" i="18"/>
  <c r="S20" i="18"/>
  <c r="U20" i="18"/>
  <c r="V20" i="18"/>
  <c r="W20" i="18"/>
  <c r="X20" i="18"/>
  <c r="Y20" i="18"/>
  <c r="P56" i="16"/>
  <c r="N20" i="18" s="1"/>
  <c r="P45" i="16"/>
  <c r="P47" i="16"/>
  <c r="P50" i="16"/>
  <c r="P51" i="16"/>
  <c r="P52" i="16"/>
  <c r="P53" i="16"/>
  <c r="P54" i="16"/>
  <c r="P55" i="16"/>
  <c r="D45" i="16"/>
  <c r="D44" i="16" s="1"/>
  <c r="D47" i="16"/>
  <c r="D50" i="16"/>
  <c r="D51" i="16"/>
  <c r="D52" i="16"/>
  <c r="C118" i="16"/>
  <c r="D118" i="16" s="1"/>
  <c r="D53" i="16"/>
  <c r="D54" i="16"/>
  <c r="D55" i="16"/>
  <c r="D56" i="16"/>
  <c r="C20" i="18" s="1"/>
  <c r="E45" i="16"/>
  <c r="E47" i="16"/>
  <c r="E50" i="16"/>
  <c r="E51" i="16"/>
  <c r="E52" i="16"/>
  <c r="E118" i="16"/>
  <c r="E53" i="16" s="1"/>
  <c r="E44" i="16" s="1"/>
  <c r="D19" i="18" s="1"/>
  <c r="E54" i="16"/>
  <c r="E55" i="16"/>
  <c r="E56" i="16"/>
  <c r="F45" i="16"/>
  <c r="F47" i="16"/>
  <c r="F44" i="16" s="1"/>
  <c r="E19" i="18" s="1"/>
  <c r="F50" i="16"/>
  <c r="F51" i="16"/>
  <c r="F52" i="16"/>
  <c r="F118" i="16"/>
  <c r="F53" i="16"/>
  <c r="F54" i="16"/>
  <c r="F55" i="16"/>
  <c r="F56" i="16"/>
  <c r="G45" i="16"/>
  <c r="G47" i="16"/>
  <c r="G50" i="16"/>
  <c r="G51" i="16"/>
  <c r="G52" i="16"/>
  <c r="G118" i="16"/>
  <c r="G53" i="16" s="1"/>
  <c r="G44" i="16" s="1"/>
  <c r="F19" i="18" s="1"/>
  <c r="G54" i="16"/>
  <c r="G55" i="16"/>
  <c r="G56" i="16"/>
  <c r="H45" i="16"/>
  <c r="H44" i="16" s="1"/>
  <c r="G19" i="18" s="1"/>
  <c r="H47" i="16"/>
  <c r="H50" i="16"/>
  <c r="H51" i="16"/>
  <c r="H52" i="16"/>
  <c r="H118" i="16"/>
  <c r="H53" i="16"/>
  <c r="H54" i="16"/>
  <c r="H55" i="16"/>
  <c r="H56" i="16"/>
  <c r="I45" i="16"/>
  <c r="I47" i="16"/>
  <c r="I50" i="16"/>
  <c r="I51" i="16"/>
  <c r="I52" i="16"/>
  <c r="H18" i="18" s="1"/>
  <c r="I118" i="16"/>
  <c r="I53" i="16" s="1"/>
  <c r="I44" i="16" s="1"/>
  <c r="H19" i="18" s="1"/>
  <c r="I54" i="16"/>
  <c r="I55" i="16"/>
  <c r="I56" i="16"/>
  <c r="J45" i="16"/>
  <c r="I18" i="18" s="1"/>
  <c r="J47" i="16"/>
  <c r="I17" i="18" s="1"/>
  <c r="J50" i="16"/>
  <c r="J51" i="16"/>
  <c r="J52" i="16"/>
  <c r="J118" i="16"/>
  <c r="J53" i="16"/>
  <c r="J54" i="16"/>
  <c r="J55" i="16"/>
  <c r="J56" i="16"/>
  <c r="K45" i="16"/>
  <c r="K47" i="16"/>
  <c r="K50" i="16"/>
  <c r="K51" i="16"/>
  <c r="K52" i="16"/>
  <c r="K118" i="16"/>
  <c r="K53" i="16" s="1"/>
  <c r="K54" i="16"/>
  <c r="K55" i="16"/>
  <c r="K56" i="16"/>
  <c r="L45" i="16"/>
  <c r="L44" i="16" s="1"/>
  <c r="K19" i="18" s="1"/>
  <c r="L47" i="16"/>
  <c r="K17" i="18" s="1"/>
  <c r="L50" i="16"/>
  <c r="L51" i="16"/>
  <c r="L52" i="16"/>
  <c r="L118" i="16"/>
  <c r="L53" i="16"/>
  <c r="L54" i="16"/>
  <c r="L55" i="16"/>
  <c r="L56" i="16"/>
  <c r="K20" i="18" s="1"/>
  <c r="M45" i="16"/>
  <c r="M47" i="16"/>
  <c r="M50" i="16"/>
  <c r="M51" i="16"/>
  <c r="M52" i="16"/>
  <c r="M118" i="16"/>
  <c r="M53" i="16" s="1"/>
  <c r="M44" i="16" s="1"/>
  <c r="L19" i="18" s="1"/>
  <c r="M54" i="16"/>
  <c r="M55" i="16"/>
  <c r="M56" i="16"/>
  <c r="N45" i="16"/>
  <c r="N44" i="16" s="1"/>
  <c r="M19" i="18" s="1"/>
  <c r="N47" i="16"/>
  <c r="N50" i="16"/>
  <c r="N51" i="16"/>
  <c r="N52" i="16"/>
  <c r="N118" i="16"/>
  <c r="N53" i="16"/>
  <c r="N54" i="16"/>
  <c r="N55" i="16"/>
  <c r="N56" i="16"/>
  <c r="M20" i="18" s="1"/>
  <c r="D20" i="18"/>
  <c r="E20" i="18"/>
  <c r="F20" i="18"/>
  <c r="G20" i="18"/>
  <c r="H20" i="18"/>
  <c r="I20" i="18"/>
  <c r="J20" i="18"/>
  <c r="L20" i="18"/>
  <c r="C56" i="16"/>
  <c r="B20" i="18"/>
  <c r="C45" i="16"/>
  <c r="B18" i="18" s="1"/>
  <c r="C47" i="16"/>
  <c r="C50" i="16"/>
  <c r="C44" i="16" s="1"/>
  <c r="B19" i="18" s="1"/>
  <c r="C51" i="16"/>
  <c r="C52" i="16"/>
  <c r="C53" i="16"/>
  <c r="C54" i="16"/>
  <c r="C55" i="16"/>
  <c r="O18" i="18"/>
  <c r="R18" i="18"/>
  <c r="S18" i="18"/>
  <c r="T18" i="18"/>
  <c r="U18" i="18"/>
  <c r="V18" i="18"/>
  <c r="W18" i="18"/>
  <c r="N18" i="18"/>
  <c r="C18" i="18"/>
  <c r="D18" i="18"/>
  <c r="E18" i="18"/>
  <c r="F18" i="18"/>
  <c r="G18" i="18"/>
  <c r="J18" i="18"/>
  <c r="K18" i="18"/>
  <c r="L18" i="18"/>
  <c r="M18" i="18"/>
  <c r="O17" i="18"/>
  <c r="Q17" i="18"/>
  <c r="R17" i="18"/>
  <c r="S17" i="18"/>
  <c r="T17" i="18"/>
  <c r="U17" i="18"/>
  <c r="V17" i="18"/>
  <c r="W17" i="18"/>
  <c r="Y17" i="18"/>
  <c r="N17" i="18"/>
  <c r="C17" i="18"/>
  <c r="D17" i="18"/>
  <c r="E17" i="18"/>
  <c r="F17" i="18"/>
  <c r="G17" i="18"/>
  <c r="H17" i="18"/>
  <c r="J17" i="18"/>
  <c r="L17" i="18"/>
  <c r="M17" i="18"/>
  <c r="B17" i="18"/>
  <c r="Q43" i="16"/>
  <c r="O16" i="18" s="1"/>
  <c r="R43" i="16"/>
  <c r="P16" i="18"/>
  <c r="S43" i="16"/>
  <c r="Q16" i="18" s="1"/>
  <c r="T43" i="16"/>
  <c r="R16" i="18"/>
  <c r="U43" i="16"/>
  <c r="S16" i="18" s="1"/>
  <c r="V43" i="16"/>
  <c r="T16" i="18"/>
  <c r="W43" i="16"/>
  <c r="U16" i="18" s="1"/>
  <c r="X43" i="16"/>
  <c r="V16" i="18"/>
  <c r="Y43" i="16"/>
  <c r="W16" i="18" s="1"/>
  <c r="Z43" i="16"/>
  <c r="X16" i="18"/>
  <c r="AA43" i="16"/>
  <c r="Y16" i="18" s="1"/>
  <c r="P43" i="16"/>
  <c r="N16" i="18" s="1"/>
  <c r="D43" i="16"/>
  <c r="C16" i="18" s="1"/>
  <c r="E43" i="16"/>
  <c r="D16" i="18"/>
  <c r="F43" i="16"/>
  <c r="E16" i="18"/>
  <c r="G43" i="16"/>
  <c r="F16" i="18"/>
  <c r="H43" i="16"/>
  <c r="G16" i="18" s="1"/>
  <c r="I43" i="16"/>
  <c r="H16" i="18"/>
  <c r="J43" i="16"/>
  <c r="I16" i="18" s="1"/>
  <c r="K43" i="16"/>
  <c r="J16" i="18" s="1"/>
  <c r="L43" i="16"/>
  <c r="K16" i="18" s="1"/>
  <c r="M43" i="16"/>
  <c r="L16" i="18"/>
  <c r="N43" i="16"/>
  <c r="M16" i="18" s="1"/>
  <c r="C43" i="16"/>
  <c r="B16" i="18"/>
  <c r="Q35" i="16"/>
  <c r="Q36" i="16"/>
  <c r="Q38" i="16"/>
  <c r="Q39" i="16"/>
  <c r="Q42" i="16"/>
  <c r="Q33" i="16"/>
  <c r="O15" i="18" s="1"/>
  <c r="R35" i="16"/>
  <c r="R33" i="16" s="1"/>
  <c r="P15" i="18" s="1"/>
  <c r="R36" i="16"/>
  <c r="R38" i="16"/>
  <c r="R39" i="16"/>
  <c r="R42" i="16"/>
  <c r="S35" i="16"/>
  <c r="S33" i="16" s="1"/>
  <c r="Q15" i="18" s="1"/>
  <c r="S36" i="16"/>
  <c r="S38" i="16"/>
  <c r="S39" i="16"/>
  <c r="S42" i="16"/>
  <c r="T35" i="16"/>
  <c r="T33" i="16" s="1"/>
  <c r="R15" i="18" s="1"/>
  <c r="T36" i="16"/>
  <c r="T38" i="16"/>
  <c r="T39" i="16"/>
  <c r="T42" i="16"/>
  <c r="U35" i="16"/>
  <c r="U36" i="16"/>
  <c r="U38" i="16"/>
  <c r="U39" i="16"/>
  <c r="U42" i="16"/>
  <c r="V35" i="16"/>
  <c r="V36" i="16"/>
  <c r="V38" i="16"/>
  <c r="V39" i="16"/>
  <c r="V42" i="16"/>
  <c r="V33" i="16"/>
  <c r="T15" i="18" s="1"/>
  <c r="W35" i="16"/>
  <c r="W36" i="16"/>
  <c r="W33" i="16" s="1"/>
  <c r="U15" i="18" s="1"/>
  <c r="W38" i="16"/>
  <c r="W39" i="16"/>
  <c r="W42" i="16"/>
  <c r="X35" i="16"/>
  <c r="X36" i="16"/>
  <c r="X38" i="16"/>
  <c r="X33" i="16" s="1"/>
  <c r="V15" i="18" s="1"/>
  <c r="X39" i="16"/>
  <c r="X42" i="16"/>
  <c r="Y35" i="16"/>
  <c r="Y33" i="16" s="1"/>
  <c r="W15" i="18" s="1"/>
  <c r="Y36" i="16"/>
  <c r="Y38" i="16"/>
  <c r="Y39" i="16"/>
  <c r="Y42" i="16"/>
  <c r="Z35" i="16"/>
  <c r="Z36" i="16"/>
  <c r="Z33" i="16" s="1"/>
  <c r="X15" i="18" s="1"/>
  <c r="Z38" i="16"/>
  <c r="Z39" i="16"/>
  <c r="Z42" i="16"/>
  <c r="AA35" i="16"/>
  <c r="AA36" i="16"/>
  <c r="AA38" i="16"/>
  <c r="AA33" i="16" s="1"/>
  <c r="Y15" i="18" s="1"/>
  <c r="AA39" i="16"/>
  <c r="AA42" i="16"/>
  <c r="D35" i="16"/>
  <c r="D36" i="16"/>
  <c r="D38" i="16"/>
  <c r="D39" i="16"/>
  <c r="D42" i="16"/>
  <c r="E35" i="16"/>
  <c r="E33" i="16" s="1"/>
  <c r="D15" i="18" s="1"/>
  <c r="E36" i="16"/>
  <c r="E38" i="16"/>
  <c r="E39" i="16"/>
  <c r="E42" i="16"/>
  <c r="F35" i="16"/>
  <c r="F33" i="16" s="1"/>
  <c r="E15" i="18" s="1"/>
  <c r="F36" i="16"/>
  <c r="F38" i="16"/>
  <c r="F39" i="16"/>
  <c r="F42" i="16"/>
  <c r="G35" i="16"/>
  <c r="G36" i="16"/>
  <c r="G38" i="16"/>
  <c r="G39" i="16"/>
  <c r="G42" i="16"/>
  <c r="G33" i="16"/>
  <c r="F15" i="18" s="1"/>
  <c r="H35" i="16"/>
  <c r="H36" i="16"/>
  <c r="H38" i="16"/>
  <c r="H39" i="16"/>
  <c r="H33" i="16" s="1"/>
  <c r="G15" i="18" s="1"/>
  <c r="H42" i="16"/>
  <c r="I35" i="16"/>
  <c r="I36" i="16"/>
  <c r="I38" i="16"/>
  <c r="I39" i="16"/>
  <c r="I42" i="16"/>
  <c r="I33" i="16" s="1"/>
  <c r="H15" i="18" s="1"/>
  <c r="J35" i="16"/>
  <c r="J33" i="16" s="1"/>
  <c r="I15" i="18" s="1"/>
  <c r="J36" i="16"/>
  <c r="J38" i="16"/>
  <c r="J39" i="16"/>
  <c r="J42" i="16"/>
  <c r="K35" i="16"/>
  <c r="K33" i="16" s="1"/>
  <c r="J15" i="18" s="1"/>
  <c r="K36" i="16"/>
  <c r="K38" i="16"/>
  <c r="K39" i="16"/>
  <c r="K42" i="16"/>
  <c r="L35" i="16"/>
  <c r="L36" i="16"/>
  <c r="L38" i="16"/>
  <c r="L39" i="16"/>
  <c r="L42" i="16"/>
  <c r="M35" i="16"/>
  <c r="M36" i="16"/>
  <c r="M38" i="16"/>
  <c r="M39" i="16"/>
  <c r="M42" i="16"/>
  <c r="N35" i="16"/>
  <c r="N36" i="16"/>
  <c r="N38" i="16"/>
  <c r="N39" i="16"/>
  <c r="N42" i="16"/>
  <c r="N33" i="16"/>
  <c r="M15" i="18" s="1"/>
  <c r="B85" i="16"/>
  <c r="Q26" i="16"/>
  <c r="Q25" i="16" s="1"/>
  <c r="O14" i="18" s="1"/>
  <c r="Q27" i="16"/>
  <c r="Q28" i="16"/>
  <c r="Q29" i="16"/>
  <c r="B95" i="16"/>
  <c r="T30" i="16" s="1"/>
  <c r="Q30" i="16"/>
  <c r="Q31" i="16"/>
  <c r="R26" i="16"/>
  <c r="R25" i="16" s="1"/>
  <c r="P14" i="18" s="1"/>
  <c r="R27" i="16"/>
  <c r="R28" i="16"/>
  <c r="R29" i="16"/>
  <c r="R30" i="16"/>
  <c r="R31" i="16"/>
  <c r="S26" i="16"/>
  <c r="S27" i="16"/>
  <c r="S28" i="16"/>
  <c r="S29" i="16"/>
  <c r="S31" i="16"/>
  <c r="T26" i="16"/>
  <c r="T27" i="16"/>
  <c r="T28" i="16"/>
  <c r="T29" i="16"/>
  <c r="T31" i="16"/>
  <c r="U26" i="16"/>
  <c r="U27" i="16"/>
  <c r="U28" i="16"/>
  <c r="U29" i="16"/>
  <c r="U30" i="16"/>
  <c r="U31" i="16"/>
  <c r="V26" i="16"/>
  <c r="V25" i="16" s="1"/>
  <c r="T14" i="18" s="1"/>
  <c r="V27" i="16"/>
  <c r="V28" i="16"/>
  <c r="V29" i="16"/>
  <c r="V30" i="16"/>
  <c r="V31" i="16"/>
  <c r="W26" i="16"/>
  <c r="W25" i="16" s="1"/>
  <c r="U14" i="18" s="1"/>
  <c r="W27" i="16"/>
  <c r="W28" i="16"/>
  <c r="W29" i="16"/>
  <c r="W30" i="16"/>
  <c r="W31" i="16"/>
  <c r="X26" i="16"/>
  <c r="X25" i="16" s="1"/>
  <c r="V14" i="18" s="1"/>
  <c r="X27" i="16"/>
  <c r="X28" i="16"/>
  <c r="X29" i="16"/>
  <c r="X30" i="16"/>
  <c r="X31" i="16"/>
  <c r="Y26" i="16"/>
  <c r="Y25" i="16" s="1"/>
  <c r="W14" i="18" s="1"/>
  <c r="Y27" i="16"/>
  <c r="Y28" i="16"/>
  <c r="Y29" i="16"/>
  <c r="Y30" i="16"/>
  <c r="Y31" i="16"/>
  <c r="Z26" i="16"/>
  <c r="Z25" i="16" s="1"/>
  <c r="X14" i="18" s="1"/>
  <c r="Z27" i="16"/>
  <c r="Z28" i="16"/>
  <c r="Z29" i="16"/>
  <c r="Z30" i="16"/>
  <c r="Z31" i="16"/>
  <c r="AA26" i="16"/>
  <c r="AA25" i="16" s="1"/>
  <c r="Y14" i="18" s="1"/>
  <c r="AA27" i="16"/>
  <c r="AA28" i="16"/>
  <c r="AA29" i="16"/>
  <c r="AA30" i="16"/>
  <c r="AA31" i="16"/>
  <c r="P26" i="16"/>
  <c r="P25" i="16" s="1"/>
  <c r="N14" i="18" s="1"/>
  <c r="P27" i="16"/>
  <c r="P28" i="16"/>
  <c r="P29" i="16"/>
  <c r="P30" i="16"/>
  <c r="P31" i="16"/>
  <c r="D26" i="16"/>
  <c r="D25" i="16" s="1"/>
  <c r="C14" i="18" s="1"/>
  <c r="D27" i="16"/>
  <c r="D28" i="16"/>
  <c r="D29" i="16"/>
  <c r="D30" i="16"/>
  <c r="D31" i="16"/>
  <c r="E26" i="16"/>
  <c r="E25" i="16" s="1"/>
  <c r="D14" i="18" s="1"/>
  <c r="E27" i="16"/>
  <c r="E28" i="16"/>
  <c r="E29" i="16"/>
  <c r="E30" i="16"/>
  <c r="E31" i="16"/>
  <c r="F26" i="16"/>
  <c r="F25" i="16" s="1"/>
  <c r="E14" i="18" s="1"/>
  <c r="F27" i="16"/>
  <c r="F28" i="16"/>
  <c r="F29" i="16"/>
  <c r="F30" i="16"/>
  <c r="F31" i="16"/>
  <c r="G26" i="16"/>
  <c r="G25" i="16" s="1"/>
  <c r="F14" i="18" s="1"/>
  <c r="G27" i="16"/>
  <c r="G28" i="16"/>
  <c r="G29" i="16"/>
  <c r="G30" i="16"/>
  <c r="G31" i="16"/>
  <c r="H26" i="16"/>
  <c r="H25" i="16" s="1"/>
  <c r="G14" i="18" s="1"/>
  <c r="H27" i="16"/>
  <c r="H28" i="16"/>
  <c r="H29" i="16"/>
  <c r="H30" i="16"/>
  <c r="H31" i="16"/>
  <c r="I26" i="16"/>
  <c r="I27" i="16"/>
  <c r="I28" i="16"/>
  <c r="I29" i="16"/>
  <c r="I30" i="16"/>
  <c r="I31" i="16"/>
  <c r="J26" i="16"/>
  <c r="J25" i="16" s="1"/>
  <c r="I14" i="18" s="1"/>
  <c r="J27" i="16"/>
  <c r="J28" i="16"/>
  <c r="J29" i="16"/>
  <c r="J30" i="16"/>
  <c r="J31" i="16"/>
  <c r="K26" i="16"/>
  <c r="K27" i="16"/>
  <c r="K28" i="16"/>
  <c r="K29" i="16"/>
  <c r="K30" i="16"/>
  <c r="K31" i="16"/>
  <c r="L26" i="16"/>
  <c r="L25" i="16" s="1"/>
  <c r="K14" i="18" s="1"/>
  <c r="L27" i="16"/>
  <c r="L28" i="16"/>
  <c r="L29" i="16"/>
  <c r="L30" i="16"/>
  <c r="L31" i="16"/>
  <c r="M26" i="16"/>
  <c r="M27" i="16"/>
  <c r="M28" i="16"/>
  <c r="M29" i="16"/>
  <c r="M30" i="16"/>
  <c r="M31" i="16"/>
  <c r="N26" i="16"/>
  <c r="N25" i="16" s="1"/>
  <c r="M14" i="18" s="1"/>
  <c r="N27" i="16"/>
  <c r="N28" i="16"/>
  <c r="N29" i="16"/>
  <c r="N30" i="16"/>
  <c r="N31" i="16"/>
  <c r="C26" i="16"/>
  <c r="C27" i="16"/>
  <c r="O27" i="16" s="1"/>
  <c r="C27" i="17" s="1"/>
  <c r="C28" i="16"/>
  <c r="C29" i="16"/>
  <c r="C30" i="16"/>
  <c r="C31" i="16"/>
  <c r="H5" i="15"/>
  <c r="I5" i="15"/>
  <c r="N5" i="15" s="1"/>
  <c r="H6" i="15"/>
  <c r="I6" i="15"/>
  <c r="N6" i="15" s="1"/>
  <c r="H7" i="15"/>
  <c r="I7" i="15" s="1"/>
  <c r="N7" i="15" s="1"/>
  <c r="H8" i="15"/>
  <c r="H9" i="15"/>
  <c r="H10" i="15"/>
  <c r="I10" i="15"/>
  <c r="N10" i="15"/>
  <c r="H11" i="15"/>
  <c r="M11" i="15" s="1"/>
  <c r="H12" i="15"/>
  <c r="I12" i="15" s="1"/>
  <c r="M5" i="15"/>
  <c r="M6" i="15"/>
  <c r="M7" i="15"/>
  <c r="M10" i="15"/>
  <c r="M12" i="15"/>
  <c r="R4" i="18"/>
  <c r="B4" i="18"/>
  <c r="B2" i="18"/>
  <c r="Y30" i="18"/>
  <c r="X30" i="18"/>
  <c r="W30" i="18"/>
  <c r="C25" i="18"/>
  <c r="C12" i="1"/>
  <c r="D12" i="1" s="1"/>
  <c r="D7" i="1" s="1"/>
  <c r="D41" i="13"/>
  <c r="C41" i="13"/>
  <c r="AB45" i="16"/>
  <c r="D45" i="17"/>
  <c r="AB47" i="16"/>
  <c r="D47" i="17" s="1"/>
  <c r="AB50" i="16"/>
  <c r="D50" i="17" s="1"/>
  <c r="AB51" i="16"/>
  <c r="D51" i="17"/>
  <c r="AB52" i="16"/>
  <c r="D52" i="17"/>
  <c r="AB54" i="16"/>
  <c r="D54" i="17" s="1"/>
  <c r="AB55" i="16"/>
  <c r="D55" i="17"/>
  <c r="AB56" i="16"/>
  <c r="D56" i="17" s="1"/>
  <c r="AB43" i="16"/>
  <c r="D43" i="17"/>
  <c r="C19" i="11" s="1"/>
  <c r="D46" i="13" s="1"/>
  <c r="AB26" i="16"/>
  <c r="D26" i="17" s="1"/>
  <c r="AB27" i="16"/>
  <c r="D27" i="17" s="1"/>
  <c r="AB28" i="16"/>
  <c r="D28" i="17"/>
  <c r="AB29" i="16"/>
  <c r="D29" i="17"/>
  <c r="AB31" i="16"/>
  <c r="D31" i="17" s="1"/>
  <c r="AB17" i="16"/>
  <c r="D17" i="17"/>
  <c r="AB19" i="16"/>
  <c r="D19" i="17"/>
  <c r="D18" i="17" s="1"/>
  <c r="AB24" i="16"/>
  <c r="D24" i="17" s="1"/>
  <c r="O10" i="16"/>
  <c r="C10" i="17" s="1"/>
  <c r="O11" i="16"/>
  <c r="C11" i="17" s="1"/>
  <c r="O12" i="16"/>
  <c r="C12" i="17"/>
  <c r="O15" i="16"/>
  <c r="C15" i="17"/>
  <c r="O16" i="16"/>
  <c r="C16" i="17" s="1"/>
  <c r="O17" i="16"/>
  <c r="C17" i="17" s="1"/>
  <c r="O19" i="16"/>
  <c r="C19" i="17" s="1"/>
  <c r="B69" i="17"/>
  <c r="D13" i="15"/>
  <c r="B70" i="17"/>
  <c r="B71" i="17"/>
  <c r="B73" i="17"/>
  <c r="B74" i="17"/>
  <c r="B75" i="17"/>
  <c r="B76" i="17"/>
  <c r="D31" i="15"/>
  <c r="D33" i="15"/>
  <c r="E76" i="17" s="1"/>
  <c r="E17" i="17" s="1"/>
  <c r="B78" i="17"/>
  <c r="E19" i="17"/>
  <c r="E18" i="17" s="1"/>
  <c r="E13" i="15"/>
  <c r="E14" i="15" s="1"/>
  <c r="E31" i="15"/>
  <c r="F76" i="17" s="1"/>
  <c r="F17" i="17" s="1"/>
  <c r="E33" i="15"/>
  <c r="F19" i="17"/>
  <c r="F18" i="17" s="1"/>
  <c r="F13" i="15"/>
  <c r="F14" i="15" s="1"/>
  <c r="G69" i="17"/>
  <c r="F31" i="15"/>
  <c r="G76" i="17" s="1"/>
  <c r="G17" i="17" s="1"/>
  <c r="F33" i="15"/>
  <c r="G19" i="17"/>
  <c r="G18" i="17" s="1"/>
  <c r="J5" i="15"/>
  <c r="K5" i="15"/>
  <c r="P5" i="15"/>
  <c r="J6" i="15"/>
  <c r="K6" i="15" s="1"/>
  <c r="J7" i="15"/>
  <c r="J10" i="15"/>
  <c r="K10" i="15" s="1"/>
  <c r="O5" i="15"/>
  <c r="L5" i="15"/>
  <c r="Q5" i="15" s="1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D5" i="17"/>
  <c r="E12" i="1"/>
  <c r="F12" i="1" s="1"/>
  <c r="C5" i="17"/>
  <c r="S58" i="16"/>
  <c r="T58" i="16"/>
  <c r="X58" i="16"/>
  <c r="G58" i="16"/>
  <c r="J58" i="16"/>
  <c r="K58" i="16"/>
  <c r="N58" i="16"/>
  <c r="B107" i="17"/>
  <c r="F42" i="17"/>
  <c r="E42" i="17"/>
  <c r="B104" i="17"/>
  <c r="F39" i="17" s="1"/>
  <c r="B103" i="17"/>
  <c r="F38" i="17" s="1"/>
  <c r="G38" i="17"/>
  <c r="P42" i="16"/>
  <c r="AB42" i="16"/>
  <c r="D42" i="17"/>
  <c r="C42" i="16"/>
  <c r="O42" i="16" s="1"/>
  <c r="C42" i="17" s="1"/>
  <c r="P39" i="16"/>
  <c r="AB39" i="16"/>
  <c r="D39" i="17" s="1"/>
  <c r="C39" i="16"/>
  <c r="O39" i="16"/>
  <c r="C39" i="17"/>
  <c r="P38" i="16"/>
  <c r="AB38" i="16" s="1"/>
  <c r="D38" i="17" s="1"/>
  <c r="C38" i="16"/>
  <c r="O38" i="16" s="1"/>
  <c r="C38" i="17" s="1"/>
  <c r="C4" i="15"/>
  <c r="N4" i="15" s="1"/>
  <c r="B4" i="15"/>
  <c r="M4" i="15"/>
  <c r="B129" i="17"/>
  <c r="B125" i="17"/>
  <c r="A125" i="17"/>
  <c r="B124" i="17"/>
  <c r="A124" i="17"/>
  <c r="A123" i="17"/>
  <c r="A122" i="17"/>
  <c r="B121" i="17"/>
  <c r="E56" i="17" s="1"/>
  <c r="A121" i="17"/>
  <c r="B120" i="17"/>
  <c r="G55" i="17"/>
  <c r="A120" i="17"/>
  <c r="B119" i="17"/>
  <c r="G54" i="17"/>
  <c r="A119" i="17"/>
  <c r="B118" i="17"/>
  <c r="F53" i="17" s="1"/>
  <c r="F118" i="17"/>
  <c r="A118" i="17"/>
  <c r="B117" i="17"/>
  <c r="F52" i="17" s="1"/>
  <c r="A117" i="17"/>
  <c r="B116" i="17"/>
  <c r="G51" i="17" s="1"/>
  <c r="A116" i="17"/>
  <c r="B115" i="17"/>
  <c r="E50" i="17"/>
  <c r="G50" i="17"/>
  <c r="A115" i="17"/>
  <c r="A114" i="17"/>
  <c r="A113" i="17"/>
  <c r="B112" i="17"/>
  <c r="E47" i="17" s="1"/>
  <c r="A112" i="17"/>
  <c r="A111" i="17"/>
  <c r="B110" i="17"/>
  <c r="F45" i="17" s="1"/>
  <c r="A110" i="17"/>
  <c r="A109" i="17"/>
  <c r="B108" i="17"/>
  <c r="E43" i="17" s="1"/>
  <c r="D19" i="11" s="1"/>
  <c r="A108" i="17"/>
  <c r="A107" i="17"/>
  <c r="B106" i="17"/>
  <c r="A106" i="17"/>
  <c r="A105" i="17"/>
  <c r="A104" i="17"/>
  <c r="A103" i="17"/>
  <c r="A102" i="17"/>
  <c r="B101" i="17"/>
  <c r="A101" i="17"/>
  <c r="B100" i="17"/>
  <c r="E35" i="17" s="1"/>
  <c r="A100" i="17"/>
  <c r="A99" i="17"/>
  <c r="A98" i="17"/>
  <c r="A97" i="17"/>
  <c r="B96" i="17"/>
  <c r="F31" i="17"/>
  <c r="A96" i="17"/>
  <c r="A95" i="17"/>
  <c r="B94" i="17"/>
  <c r="A94" i="17"/>
  <c r="E93" i="17"/>
  <c r="E28" i="17" s="1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E27" i="17" s="1"/>
  <c r="A87" i="17"/>
  <c r="A86" i="17"/>
  <c r="A85" i="17"/>
  <c r="A84" i="17"/>
  <c r="B83" i="17"/>
  <c r="G24" i="17"/>
  <c r="G23" i="17" s="1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F55" i="17"/>
  <c r="E24" i="17"/>
  <c r="E23" i="17" s="1"/>
  <c r="D65" i="17"/>
  <c r="C65" i="17"/>
  <c r="B95" i="17"/>
  <c r="E30" i="17" s="1"/>
  <c r="F30" i="17" s="1"/>
  <c r="G30" i="17" s="1"/>
  <c r="B85" i="17"/>
  <c r="F26" i="17" s="1"/>
  <c r="C65" i="16"/>
  <c r="AA58" i="16"/>
  <c r="Y58" i="16"/>
  <c r="W58" i="16"/>
  <c r="V58" i="16"/>
  <c r="U58" i="16"/>
  <c r="R58" i="16"/>
  <c r="Q58" i="16"/>
  <c r="P58" i="16"/>
  <c r="L58" i="16"/>
  <c r="I58" i="16"/>
  <c r="H58" i="16"/>
  <c r="F58" i="16"/>
  <c r="E58" i="16"/>
  <c r="D58" i="16"/>
  <c r="C58" i="16"/>
  <c r="AB57" i="16"/>
  <c r="O57" i="16"/>
  <c r="O56" i="16"/>
  <c r="C56" i="17" s="1"/>
  <c r="O55" i="16"/>
  <c r="C55" i="17"/>
  <c r="O52" i="16"/>
  <c r="C52" i="17" s="1"/>
  <c r="O51" i="16"/>
  <c r="C51" i="17"/>
  <c r="AB49" i="16"/>
  <c r="O49" i="16"/>
  <c r="AB48" i="16"/>
  <c r="O48" i="16"/>
  <c r="AB46" i="16"/>
  <c r="O46" i="16"/>
  <c r="AB40" i="16"/>
  <c r="O40" i="16"/>
  <c r="AB37" i="16"/>
  <c r="O37" i="16"/>
  <c r="P36" i="16"/>
  <c r="C36" i="16"/>
  <c r="O36" i="16" s="1"/>
  <c r="C36" i="17" s="1"/>
  <c r="P35" i="16"/>
  <c r="AB35" i="16" s="1"/>
  <c r="D35" i="17" s="1"/>
  <c r="C35" i="16"/>
  <c r="AB34" i="16"/>
  <c r="O34" i="16"/>
  <c r="AB32" i="16"/>
  <c r="O32" i="16"/>
  <c r="O31" i="16"/>
  <c r="C31" i="17" s="1"/>
  <c r="E29" i="17"/>
  <c r="F29" i="17" s="1"/>
  <c r="G29" i="17" s="1"/>
  <c r="O29" i="16"/>
  <c r="C29" i="17"/>
  <c r="O28" i="16"/>
  <c r="C28" i="17" s="1"/>
  <c r="AB23" i="16"/>
  <c r="AB22" i="16"/>
  <c r="O22" i="16"/>
  <c r="AB21" i="16"/>
  <c r="O21" i="16"/>
  <c r="AB20" i="16"/>
  <c r="O20" i="16"/>
  <c r="Q8" i="16"/>
  <c r="Y8" i="16"/>
  <c r="V8" i="16"/>
  <c r="I8" i="16"/>
  <c r="E8" i="16"/>
  <c r="F93" i="17"/>
  <c r="AB36" i="16"/>
  <c r="D36" i="17" s="1"/>
  <c r="U8" i="16"/>
  <c r="D8" i="16"/>
  <c r="H8" i="16"/>
  <c r="L8" i="16"/>
  <c r="R8" i="16"/>
  <c r="O18" i="16"/>
  <c r="J8" i="16"/>
  <c r="X8" i="16"/>
  <c r="T8" i="16"/>
  <c r="O30" i="16"/>
  <c r="C30" i="17"/>
  <c r="O45" i="16"/>
  <c r="C45" i="17" s="1"/>
  <c r="O54" i="16"/>
  <c r="C54" i="17"/>
  <c r="AB18" i="16"/>
  <c r="O24" i="16"/>
  <c r="C24" i="17"/>
  <c r="C23" i="17" s="1"/>
  <c r="O43" i="16"/>
  <c r="C43" i="17" s="1"/>
  <c r="B19" i="11" s="1"/>
  <c r="C46" i="13"/>
  <c r="O26" i="16"/>
  <c r="C26" i="17" s="1"/>
  <c r="O35" i="16"/>
  <c r="C35" i="17" s="1"/>
  <c r="O47" i="16"/>
  <c r="C47" i="17"/>
  <c r="O50" i="16"/>
  <c r="C50" i="17" s="1"/>
  <c r="S8" i="16"/>
  <c r="E118" i="17"/>
  <c r="W8" i="16"/>
  <c r="K8" i="16"/>
  <c r="E94" i="4"/>
  <c r="E91" i="4"/>
  <c r="E89" i="4"/>
  <c r="E85" i="4"/>
  <c r="G77" i="4"/>
  <c r="F77" i="4"/>
  <c r="E77" i="4"/>
  <c r="D77" i="4"/>
  <c r="C71" i="4"/>
  <c r="C72" i="4"/>
  <c r="C73" i="4" s="1"/>
  <c r="C74" i="4" s="1"/>
  <c r="C75" i="4" s="1"/>
  <c r="C44" i="7"/>
  <c r="C28" i="7" s="1"/>
  <c r="C33" i="7"/>
  <c r="C31" i="7"/>
  <c r="B57" i="10"/>
  <c r="C57" i="10" s="1"/>
  <c r="D57" i="10" s="1"/>
  <c r="E57" i="10" s="1"/>
  <c r="A17" i="14"/>
  <c r="A18" i="14" s="1"/>
  <c r="A19" i="14" s="1"/>
  <c r="A20" i="14" s="1"/>
  <c r="A21" i="14" s="1"/>
  <c r="A22" i="14" s="1"/>
  <c r="A23" i="14" s="1"/>
  <c r="F59" i="10"/>
  <c r="E59" i="10"/>
  <c r="D59" i="10"/>
  <c r="C59" i="10"/>
  <c r="D6" i="4"/>
  <c r="D33" i="4" s="1"/>
  <c r="D37" i="4" s="1"/>
  <c r="F5" i="4"/>
  <c r="F7" i="4" s="1"/>
  <c r="F12" i="4" s="1"/>
  <c r="C9" i="7"/>
  <c r="J77" i="1"/>
  <c r="F113" i="13"/>
  <c r="J76" i="1"/>
  <c r="J75" i="1"/>
  <c r="I75" i="1"/>
  <c r="I76" i="1"/>
  <c r="E112" i="13"/>
  <c r="I77" i="1"/>
  <c r="F111" i="13"/>
  <c r="J7" i="1"/>
  <c r="F110" i="13" s="1"/>
  <c r="I7" i="1"/>
  <c r="B76" i="13"/>
  <c r="B75" i="13"/>
  <c r="B74" i="13"/>
  <c r="B49" i="13"/>
  <c r="B46" i="13"/>
  <c r="B45" i="13"/>
  <c r="B44" i="13"/>
  <c r="B43" i="13"/>
  <c r="B42" i="13"/>
  <c r="C26" i="12"/>
  <c r="C30" i="12" s="1"/>
  <c r="D30" i="12" s="1"/>
  <c r="C10" i="12"/>
  <c r="C16" i="12"/>
  <c r="D16" i="12" s="1"/>
  <c r="G42" i="11"/>
  <c r="H27" i="1"/>
  <c r="E44" i="4"/>
  <c r="E43" i="4"/>
  <c r="C33" i="12"/>
  <c r="G41" i="11"/>
  <c r="G40" i="11"/>
  <c r="B7" i="11"/>
  <c r="B3" i="11" s="1"/>
  <c r="H7" i="1"/>
  <c r="D22" i="12"/>
  <c r="D20" i="12"/>
  <c r="D19" i="12"/>
  <c r="D12" i="12"/>
  <c r="G54" i="11"/>
  <c r="D8" i="12"/>
  <c r="H21" i="1" s="1"/>
  <c r="D7" i="12"/>
  <c r="D6" i="12"/>
  <c r="D5" i="12"/>
  <c r="B10" i="10"/>
  <c r="C10" i="10" s="1"/>
  <c r="B14" i="10"/>
  <c r="C46" i="12"/>
  <c r="H75" i="1" s="1"/>
  <c r="D111" i="13" s="1"/>
  <c r="C39" i="12"/>
  <c r="C47" i="12"/>
  <c r="H76" i="1"/>
  <c r="D112" i="13" s="1"/>
  <c r="C6" i="10"/>
  <c r="D6" i="10" s="1"/>
  <c r="E6" i="10" s="1"/>
  <c r="F6" i="10" s="1"/>
  <c r="C12" i="10"/>
  <c r="D12" i="10"/>
  <c r="E12" i="10"/>
  <c r="F12" i="10" s="1"/>
  <c r="B5" i="10"/>
  <c r="B16" i="10" s="1"/>
  <c r="C41" i="12"/>
  <c r="D41" i="12"/>
  <c r="C45" i="12" s="1"/>
  <c r="H77" i="1" s="1"/>
  <c r="D113" i="13" s="1"/>
  <c r="D40" i="12"/>
  <c r="D37" i="12"/>
  <c r="G50" i="11" s="1"/>
  <c r="D38" i="12"/>
  <c r="D36" i="12"/>
  <c r="G52" i="11" s="1"/>
  <c r="C12" i="7"/>
  <c r="C13" i="7"/>
  <c r="H47" i="1"/>
  <c r="H43" i="1"/>
  <c r="B6" i="12"/>
  <c r="H17" i="1"/>
  <c r="B7" i="12"/>
  <c r="H15" i="1"/>
  <c r="B5" i="12"/>
  <c r="B113" i="13"/>
  <c r="B112" i="13"/>
  <c r="B111" i="13"/>
  <c r="F42" i="13"/>
  <c r="D62" i="4"/>
  <c r="E110" i="13"/>
  <c r="D110" i="13"/>
  <c r="E113" i="13"/>
  <c r="F112" i="13"/>
  <c r="E111" i="13"/>
  <c r="C4" i="13"/>
  <c r="E5" i="4"/>
  <c r="E7" i="4" s="1"/>
  <c r="D5" i="4"/>
  <c r="G5" i="4"/>
  <c r="G7" i="4"/>
  <c r="G12" i="4" s="1"/>
  <c r="H5" i="4"/>
  <c r="H7" i="4"/>
  <c r="H12" i="4" s="1"/>
  <c r="H27" i="4"/>
  <c r="G33" i="4"/>
  <c r="G37" i="4" s="1"/>
  <c r="G34" i="4" s="1"/>
  <c r="F33" i="4"/>
  <c r="F37" i="4" s="1"/>
  <c r="F34" i="4"/>
  <c r="E33" i="4"/>
  <c r="E37" i="4" s="1"/>
  <c r="E34" i="4" s="1"/>
  <c r="C22" i="4"/>
  <c r="C21" i="4"/>
  <c r="C20" i="4"/>
  <c r="C19" i="4"/>
  <c r="D3" i="4"/>
  <c r="B15" i="1"/>
  <c r="C53" i="1"/>
  <c r="D53" i="1"/>
  <c r="E53" i="1" s="1"/>
  <c r="F53" i="1" s="1"/>
  <c r="G53" i="1" s="1"/>
  <c r="G41" i="2" s="1"/>
  <c r="B38" i="2"/>
  <c r="B9" i="3"/>
  <c r="B8" i="3" s="1"/>
  <c r="E18" i="3" s="1"/>
  <c r="B7" i="3"/>
  <c r="G5" i="3"/>
  <c r="G15" i="3" s="1"/>
  <c r="F14" i="3"/>
  <c r="K4" i="3"/>
  <c r="E5" i="3"/>
  <c r="C17" i="3"/>
  <c r="D34" i="2"/>
  <c r="E34" i="2"/>
  <c r="G34" i="2"/>
  <c r="F34" i="2"/>
  <c r="B19" i="1"/>
  <c r="B21" i="1" s="1"/>
  <c r="B43" i="1"/>
  <c r="B47" i="1" s="1"/>
  <c r="C41" i="2"/>
  <c r="C2" i="2"/>
  <c r="D30" i="4" s="1"/>
  <c r="D39" i="12"/>
  <c r="E8" i="3"/>
  <c r="J8" i="3" s="1"/>
  <c r="H5" i="3"/>
  <c r="H15" i="3" s="1"/>
  <c r="M5" i="3"/>
  <c r="E19" i="3"/>
  <c r="F5" i="3"/>
  <c r="L5" i="3"/>
  <c r="B48" i="11"/>
  <c r="D58" i="1"/>
  <c r="D73" i="13" s="1"/>
  <c r="D2" i="2"/>
  <c r="D46" i="2"/>
  <c r="D3" i="6" s="1"/>
  <c r="F15" i="3"/>
  <c r="K5" i="3"/>
  <c r="B10" i="3"/>
  <c r="E9" i="3"/>
  <c r="J9" i="3" s="1"/>
  <c r="C58" i="1"/>
  <c r="C73" i="13"/>
  <c r="B11" i="3"/>
  <c r="E10" i="3"/>
  <c r="J10" i="3" s="1"/>
  <c r="E20" i="3"/>
  <c r="E30" i="4"/>
  <c r="C5" i="10"/>
  <c r="C16" i="10" s="1"/>
  <c r="D4" i="13"/>
  <c r="E3" i="4"/>
  <c r="C7" i="11"/>
  <c r="C48" i="11"/>
  <c r="E11" i="3"/>
  <c r="J11" i="3"/>
  <c r="E21" i="3"/>
  <c r="E58" i="1"/>
  <c r="E73" i="13"/>
  <c r="D16" i="2"/>
  <c r="E2" i="2"/>
  <c r="E16" i="2" s="1"/>
  <c r="G118" i="17"/>
  <c r="E46" i="2"/>
  <c r="E3" i="6"/>
  <c r="G53" i="17"/>
  <c r="G39" i="17"/>
  <c r="F50" i="17"/>
  <c r="E53" i="17"/>
  <c r="F54" i="17"/>
  <c r="E39" i="17"/>
  <c r="F56" i="17"/>
  <c r="F35" i="17"/>
  <c r="E38" i="17"/>
  <c r="G52" i="17"/>
  <c r="G56" i="17"/>
  <c r="D2" i="18"/>
  <c r="C2" i="18"/>
  <c r="D65" i="16"/>
  <c r="F30" i="4"/>
  <c r="C16" i="2"/>
  <c r="G43" i="17"/>
  <c r="F19" i="11" s="1"/>
  <c r="G26" i="17"/>
  <c r="G27" i="17"/>
  <c r="G31" i="17"/>
  <c r="G35" i="17"/>
  <c r="E26" i="17"/>
  <c r="F27" i="17"/>
  <c r="E52" i="17"/>
  <c r="F43" i="17"/>
  <c r="E19" i="11"/>
  <c r="E54" i="17"/>
  <c r="F24" i="17"/>
  <c r="F23" i="17"/>
  <c r="E65" i="16"/>
  <c r="C3" i="11"/>
  <c r="E31" i="17"/>
  <c r="E25" i="17"/>
  <c r="D17" i="11" s="1"/>
  <c r="E45" i="17"/>
  <c r="G45" i="17"/>
  <c r="G47" i="17"/>
  <c r="G42" i="17"/>
  <c r="E55" i="17"/>
  <c r="F47" i="17"/>
  <c r="F51" i="17"/>
  <c r="E51" i="17"/>
  <c r="E44" i="17"/>
  <c r="D20" i="11"/>
  <c r="C35" i="7"/>
  <c r="C36" i="7"/>
  <c r="C40" i="7" s="1"/>
  <c r="D7" i="4"/>
  <c r="I7" i="4" s="1"/>
  <c r="D56" i="4"/>
  <c r="D34" i="4"/>
  <c r="D41" i="2"/>
  <c r="E41" i="2"/>
  <c r="H9" i="4"/>
  <c r="P10" i="15" l="1"/>
  <c r="L10" i="15"/>
  <c r="Q10" i="15" s="1"/>
  <c r="D10" i="10"/>
  <c r="C14" i="10"/>
  <c r="G75" i="17"/>
  <c r="G16" i="17" s="1"/>
  <c r="G73" i="17"/>
  <c r="G10" i="17"/>
  <c r="J12" i="15"/>
  <c r="K12" i="15" s="1"/>
  <c r="L12" i="15" s="1"/>
  <c r="F18" i="19"/>
  <c r="G18" i="19" s="1"/>
  <c r="H18" i="19" s="1"/>
  <c r="I18" i="19" s="1"/>
  <c r="J18" i="19" s="1"/>
  <c r="K18" i="19" s="1"/>
  <c r="L18" i="19" s="1"/>
  <c r="M18" i="19" s="1"/>
  <c r="N18" i="19" s="1"/>
  <c r="F44" i="17"/>
  <c r="E20" i="11" s="1"/>
  <c r="K44" i="16"/>
  <c r="J19" i="18" s="1"/>
  <c r="O53" i="16"/>
  <c r="C53" i="17" s="1"/>
  <c r="Q44" i="16"/>
  <c r="O19" i="18" s="1"/>
  <c r="C19" i="18"/>
  <c r="F41" i="2"/>
  <c r="G44" i="17"/>
  <c r="F20" i="11" s="1"/>
  <c r="B7" i="18"/>
  <c r="B9" i="18" s="1"/>
  <c r="B10" i="18" s="1"/>
  <c r="E6" i="18"/>
  <c r="B36" i="10"/>
  <c r="F7" i="1"/>
  <c r="G12" i="1"/>
  <c r="F2" i="2"/>
  <c r="F58" i="1"/>
  <c r="F73" i="13" s="1"/>
  <c r="E27" i="15"/>
  <c r="F71" i="17" s="1"/>
  <c r="E29" i="15"/>
  <c r="F74" i="17" s="1"/>
  <c r="F15" i="17" s="1"/>
  <c r="E24" i="15"/>
  <c r="F70" i="17" s="1"/>
  <c r="F11" i="17" s="1"/>
  <c r="C25" i="17"/>
  <c r="F24" i="15"/>
  <c r="G70" i="17" s="1"/>
  <c r="G11" i="17" s="1"/>
  <c r="F27" i="15"/>
  <c r="G71" i="17" s="1"/>
  <c r="G12" i="17" s="1"/>
  <c r="F29" i="15"/>
  <c r="G74" i="17" s="1"/>
  <c r="G15" i="17" s="1"/>
  <c r="C18" i="17"/>
  <c r="I24" i="17" s="1"/>
  <c r="F57" i="10"/>
  <c r="O7" i="15"/>
  <c r="K7" i="15"/>
  <c r="G14" i="17"/>
  <c r="F36" i="17"/>
  <c r="E36" i="17"/>
  <c r="G36" i="17"/>
  <c r="L6" i="15"/>
  <c r="Q6" i="15" s="1"/>
  <c r="P6" i="15"/>
  <c r="F12" i="17"/>
  <c r="C9" i="17"/>
  <c r="E7" i="3"/>
  <c r="J7" i="3" s="1"/>
  <c r="E17" i="3"/>
  <c r="D14" i="15"/>
  <c r="F69" i="17"/>
  <c r="E69" i="17"/>
  <c r="D23" i="17"/>
  <c r="G93" i="17"/>
  <c r="G28" i="17" s="1"/>
  <c r="G25" i="17" s="1"/>
  <c r="F17" i="11" s="1"/>
  <c r="F28" i="17"/>
  <c r="J7" i="16"/>
  <c r="I24" i="18" s="1"/>
  <c r="I25" i="18" s="1"/>
  <c r="E7" i="1"/>
  <c r="C25" i="16"/>
  <c r="K25" i="16"/>
  <c r="J14" i="18" s="1"/>
  <c r="O6" i="15"/>
  <c r="C46" i="2"/>
  <c r="C3" i="6" s="1"/>
  <c r="T7" i="16"/>
  <c r="R24" i="18" s="1"/>
  <c r="R25" i="18" s="1"/>
  <c r="O6" i="19"/>
  <c r="P6" i="19" s="1"/>
  <c r="Q6" i="19" s="1"/>
  <c r="R6" i="19" s="1"/>
  <c r="S6" i="19" s="1"/>
  <c r="T6" i="19" s="1"/>
  <c r="U6" i="19" s="1"/>
  <c r="V6" i="19" s="1"/>
  <c r="W6" i="19" s="1"/>
  <c r="X6" i="19" s="1"/>
  <c r="Y6" i="19" s="1"/>
  <c r="M25" i="16"/>
  <c r="L14" i="18" s="1"/>
  <c r="I25" i="16"/>
  <c r="H14" i="18" s="1"/>
  <c r="K7" i="16"/>
  <c r="J24" i="18" s="1"/>
  <c r="J25" i="18" s="1"/>
  <c r="C29" i="15"/>
  <c r="P74" i="16" s="1"/>
  <c r="P15" i="16" s="1"/>
  <c r="AB15" i="16" s="1"/>
  <c r="D15" i="17" s="1"/>
  <c r="P69" i="16"/>
  <c r="C24" i="15"/>
  <c r="P70" i="16" s="1"/>
  <c r="P11" i="16" s="1"/>
  <c r="AB11" i="16" s="1"/>
  <c r="D11" i="17" s="1"/>
  <c r="C27" i="15"/>
  <c r="P71" i="16" s="1"/>
  <c r="P12" i="16" s="1"/>
  <c r="AB12" i="16" s="1"/>
  <c r="D12" i="17" s="1"/>
  <c r="G10" i="19"/>
  <c r="F14" i="19"/>
  <c r="O10" i="15"/>
  <c r="I8" i="15"/>
  <c r="M8" i="15"/>
  <c r="S7" i="16"/>
  <c r="Q24" i="18" s="1"/>
  <c r="Q25" i="18" s="1"/>
  <c r="R7" i="16"/>
  <c r="P24" i="18" s="1"/>
  <c r="P25" i="18" s="1"/>
  <c r="I9" i="15"/>
  <c r="N9" i="15" s="1"/>
  <c r="J44" i="16"/>
  <c r="I19" i="18" s="1"/>
  <c r="L7" i="16"/>
  <c r="K24" i="18" s="1"/>
  <c r="K25" i="18" s="1"/>
  <c r="F16" i="19"/>
  <c r="E20" i="19"/>
  <c r="N9" i="16"/>
  <c r="U7" i="16"/>
  <c r="S24" i="18" s="1"/>
  <c r="S25" i="18" s="1"/>
  <c r="C14" i="19"/>
  <c r="B26" i="10"/>
  <c r="D12" i="19"/>
  <c r="E12" i="19" s="1"/>
  <c r="F12" i="19" s="1"/>
  <c r="G12" i="19" s="1"/>
  <c r="H12" i="19" s="1"/>
  <c r="I12" i="19" s="1"/>
  <c r="J12" i="19" s="1"/>
  <c r="K12" i="19" s="1"/>
  <c r="L12" i="19" s="1"/>
  <c r="M12" i="19" s="1"/>
  <c r="N12" i="19" s="1"/>
  <c r="I11" i="15"/>
  <c r="S25" i="16"/>
  <c r="P44" i="16"/>
  <c r="Z9" i="16"/>
  <c r="T25" i="16"/>
  <c r="R14" i="18" s="1"/>
  <c r="L33" i="16"/>
  <c r="K15" i="18" s="1"/>
  <c r="AA13" i="16"/>
  <c r="E14" i="19"/>
  <c r="U25" i="16"/>
  <c r="S14" i="18" s="1"/>
  <c r="I7" i="16"/>
  <c r="H24" i="18" s="1"/>
  <c r="H25" i="18" s="1"/>
  <c r="F13" i="16"/>
  <c r="D8" i="19"/>
  <c r="E4" i="19"/>
  <c r="M33" i="16"/>
  <c r="L15" i="18" s="1"/>
  <c r="U33" i="16"/>
  <c r="S15" i="18" s="1"/>
  <c r="AA9" i="16"/>
  <c r="N12" i="15"/>
  <c r="S30" i="16"/>
  <c r="AB30" i="16" s="1"/>
  <c r="D30" i="17" s="1"/>
  <c r="C73" i="16"/>
  <c r="C14" i="16" s="1"/>
  <c r="M9" i="16"/>
  <c r="G13" i="16"/>
  <c r="G8" i="16" s="1"/>
  <c r="E2" i="19"/>
  <c r="M9" i="15"/>
  <c r="D33" i="16"/>
  <c r="C15" i="18" s="1"/>
  <c r="C20" i="19"/>
  <c r="B20" i="10"/>
  <c r="Z118" i="16"/>
  <c r="Z53" i="16" s="1"/>
  <c r="Z44" i="16" s="1"/>
  <c r="X19" i="18" s="1"/>
  <c r="X118" i="16"/>
  <c r="X53" i="16" s="1"/>
  <c r="X44" i="16" s="1"/>
  <c r="V19" i="18" s="1"/>
  <c r="V118" i="16"/>
  <c r="V53" i="16" s="1"/>
  <c r="V44" i="16" s="1"/>
  <c r="T19" i="18" s="1"/>
  <c r="T118" i="16"/>
  <c r="T53" i="16" s="1"/>
  <c r="T44" i="16" s="1"/>
  <c r="R19" i="18" s="1"/>
  <c r="C13" i="16" l="1"/>
  <c r="O14" i="16"/>
  <c r="C14" i="17" s="1"/>
  <c r="F7" i="16"/>
  <c r="E24" i="18" s="1"/>
  <c r="E25" i="18" s="1"/>
  <c r="F8" i="16"/>
  <c r="Z7" i="16"/>
  <c r="X24" i="18" s="1"/>
  <c r="X25" i="18" s="1"/>
  <c r="Z8" i="16"/>
  <c r="N7" i="16"/>
  <c r="M24" i="18" s="1"/>
  <c r="M25" i="18" s="1"/>
  <c r="N8" i="16"/>
  <c r="B14" i="18"/>
  <c r="O25" i="16"/>
  <c r="B17" i="11"/>
  <c r="C44" i="13" s="1"/>
  <c r="F5" i="17"/>
  <c r="F65" i="17" s="1"/>
  <c r="E4" i="15"/>
  <c r="P4" i="15" s="1"/>
  <c r="E7" i="11"/>
  <c r="E5" i="10"/>
  <c r="E16" i="10" s="1"/>
  <c r="G3" i="4"/>
  <c r="F4" i="13"/>
  <c r="C36" i="10"/>
  <c r="N19" i="18"/>
  <c r="AB44" i="16"/>
  <c r="N8" i="15"/>
  <c r="J8" i="15"/>
  <c r="M13" i="15"/>
  <c r="C6" i="16" s="1"/>
  <c r="F25" i="17"/>
  <c r="E17" i="11" s="1"/>
  <c r="O44" i="16"/>
  <c r="O12" i="15"/>
  <c r="E10" i="10"/>
  <c r="D14" i="10"/>
  <c r="Q14" i="18"/>
  <c r="AB25" i="16"/>
  <c r="G16" i="19"/>
  <c r="F20" i="19"/>
  <c r="C25" i="1"/>
  <c r="M59" i="16"/>
  <c r="C60" i="1"/>
  <c r="M60" i="16"/>
  <c r="O60" i="16" s="1"/>
  <c r="C60" i="17" s="1"/>
  <c r="C41" i="16"/>
  <c r="AA7" i="16"/>
  <c r="Y24" i="18" s="1"/>
  <c r="Y25" i="18" s="1"/>
  <c r="AA8" i="16"/>
  <c r="N11" i="15"/>
  <c r="J11" i="15"/>
  <c r="K11" i="15" s="1"/>
  <c r="L11" i="15" s="1"/>
  <c r="P11" i="15"/>
  <c r="D34" i="1"/>
  <c r="F34" i="1"/>
  <c r="C33" i="1"/>
  <c r="E34" i="1"/>
  <c r="G34" i="1"/>
  <c r="O12" i="19"/>
  <c r="P12" i="19" s="1"/>
  <c r="Q12" i="19" s="1"/>
  <c r="R12" i="19" s="1"/>
  <c r="S12" i="19" s="1"/>
  <c r="T12" i="19" s="1"/>
  <c r="U12" i="19" s="1"/>
  <c r="V12" i="19" s="1"/>
  <c r="W12" i="19" s="1"/>
  <c r="X12" i="19" s="1"/>
  <c r="Y12" i="19" s="1"/>
  <c r="G14" i="19"/>
  <c r="H10" i="19"/>
  <c r="D25" i="17"/>
  <c r="C17" i="11" s="1"/>
  <c r="D44" i="13" s="1"/>
  <c r="E73" i="17"/>
  <c r="E14" i="17" s="1"/>
  <c r="E75" i="17"/>
  <c r="E16" i="17" s="1"/>
  <c r="G13" i="17"/>
  <c r="I19" i="17"/>
  <c r="AB53" i="16"/>
  <c r="D53" i="17" s="1"/>
  <c r="D44" i="17" s="1"/>
  <c r="C20" i="11" s="1"/>
  <c r="D47" i="13" s="1"/>
  <c r="B32" i="10"/>
  <c r="F2" i="19"/>
  <c r="F5" i="16"/>
  <c r="J9" i="15"/>
  <c r="K9" i="15" s="1"/>
  <c r="L9" i="15" s="1"/>
  <c r="O9" i="15"/>
  <c r="P9" i="15"/>
  <c r="D5" i="10"/>
  <c r="D16" i="10" s="1"/>
  <c r="D4" i="15"/>
  <c r="O4" i="15" s="1"/>
  <c r="F3" i="4"/>
  <c r="E4" i="13"/>
  <c r="E5" i="17"/>
  <c r="E65" i="17" s="1"/>
  <c r="D7" i="11"/>
  <c r="F10" i="17"/>
  <c r="F9" i="17" s="1"/>
  <c r="F75" i="17"/>
  <c r="F16" i="17" s="1"/>
  <c r="F73" i="17"/>
  <c r="F14" i="17" s="1"/>
  <c r="O18" i="19"/>
  <c r="P18" i="19" s="1"/>
  <c r="Q18" i="19" s="1"/>
  <c r="R18" i="19" s="1"/>
  <c r="S18" i="19" s="1"/>
  <c r="T18" i="19" s="1"/>
  <c r="U18" i="19" s="1"/>
  <c r="V18" i="19" s="1"/>
  <c r="W18" i="19" s="1"/>
  <c r="X18" i="19" s="1"/>
  <c r="Y18" i="19" s="1"/>
  <c r="G9" i="17"/>
  <c r="E8" i="19"/>
  <c r="E21" i="19" s="1"/>
  <c r="F4" i="19"/>
  <c r="C21" i="19"/>
  <c r="C20" i="10"/>
  <c r="D20" i="10" s="1"/>
  <c r="E20" i="10" s="1"/>
  <c r="F20" i="10" s="1"/>
  <c r="D29" i="15"/>
  <c r="E74" i="17" s="1"/>
  <c r="E15" i="17" s="1"/>
  <c r="D24" i="15"/>
  <c r="E70" i="17" s="1"/>
  <c r="E11" i="17" s="1"/>
  <c r="D27" i="15"/>
  <c r="E71" i="17" s="1"/>
  <c r="E12" i="17" s="1"/>
  <c r="F46" i="2"/>
  <c r="F3" i="6" s="1"/>
  <c r="F16" i="2"/>
  <c r="G30" i="4"/>
  <c r="Q12" i="15"/>
  <c r="M7" i="16"/>
  <c r="L24" i="18" s="1"/>
  <c r="L25" i="18" s="1"/>
  <c r="M8" i="16"/>
  <c r="O9" i="16"/>
  <c r="D21" i="19"/>
  <c r="D14" i="19"/>
  <c r="P73" i="16"/>
  <c r="P14" i="16" s="1"/>
  <c r="P10" i="16"/>
  <c r="P75" i="16"/>
  <c r="P16" i="16" s="1"/>
  <c r="AB16" i="16" s="1"/>
  <c r="D16" i="17" s="1"/>
  <c r="G7" i="16"/>
  <c r="F24" i="18" s="1"/>
  <c r="F25" i="18" s="1"/>
  <c r="E10" i="17"/>
  <c r="P7" i="15"/>
  <c r="L7" i="15"/>
  <c r="Q7" i="15" s="1"/>
  <c r="G58" i="1"/>
  <c r="G73" i="13" s="1"/>
  <c r="G7" i="1"/>
  <c r="G2" i="2"/>
  <c r="C44" i="17"/>
  <c r="P12" i="15"/>
  <c r="E9" i="17" l="1"/>
  <c r="F8" i="19"/>
  <c r="G4" i="19"/>
  <c r="D48" i="11"/>
  <c r="D3" i="11"/>
  <c r="C34" i="1"/>
  <c r="C36" i="1" s="1"/>
  <c r="D33" i="1" s="1"/>
  <c r="D36" i="1" s="1"/>
  <c r="E33" i="1" s="1"/>
  <c r="E36" i="1" s="1"/>
  <c r="F33" i="1" s="1"/>
  <c r="F36" i="1" s="1"/>
  <c r="G33" i="1" s="1"/>
  <c r="G36" i="1" s="1"/>
  <c r="O59" i="16"/>
  <c r="C59" i="17" s="1"/>
  <c r="M58" i="16"/>
  <c r="O58" i="16" s="1"/>
  <c r="D36" i="10"/>
  <c r="E6" i="16"/>
  <c r="N6" i="16"/>
  <c r="K6" i="16"/>
  <c r="B13" i="18"/>
  <c r="I6" i="16"/>
  <c r="G6" i="16"/>
  <c r="D6" i="16"/>
  <c r="H6" i="16"/>
  <c r="J6" i="16"/>
  <c r="F6" i="16"/>
  <c r="L6" i="16"/>
  <c r="M6" i="16"/>
  <c r="D60" i="1"/>
  <c r="Z60" i="16"/>
  <c r="AB60" i="16" s="1"/>
  <c r="D60" i="17" s="1"/>
  <c r="Z59" i="16"/>
  <c r="P41" i="16"/>
  <c r="I31" i="17"/>
  <c r="C7" i="18"/>
  <c r="C9" i="18" s="1"/>
  <c r="F6" i="18"/>
  <c r="C16" i="1"/>
  <c r="C20" i="2" s="1"/>
  <c r="C18" i="1"/>
  <c r="C21" i="2" s="1"/>
  <c r="B49" i="11"/>
  <c r="C42" i="1"/>
  <c r="C20" i="1"/>
  <c r="C22" i="2" s="1"/>
  <c r="B29" i="11"/>
  <c r="C4" i="2"/>
  <c r="C46" i="1"/>
  <c r="C35" i="2" s="1"/>
  <c r="C14" i="1"/>
  <c r="B20" i="11"/>
  <c r="C47" i="13" s="1"/>
  <c r="I56" i="17"/>
  <c r="I47" i="17"/>
  <c r="I52" i="17"/>
  <c r="I50" i="17"/>
  <c r="I54" i="17"/>
  <c r="I45" i="17"/>
  <c r="I55" i="17"/>
  <c r="I51" i="17"/>
  <c r="H6" i="18"/>
  <c r="E7" i="18"/>
  <c r="E9" i="18" s="1"/>
  <c r="C26" i="10"/>
  <c r="D26" i="10" s="1"/>
  <c r="E26" i="10" s="1"/>
  <c r="F26" i="10" s="1"/>
  <c r="O11" i="15"/>
  <c r="F10" i="10"/>
  <c r="F14" i="10" s="1"/>
  <c r="E14" i="10"/>
  <c r="K8" i="15"/>
  <c r="O8" i="15"/>
  <c r="I53" i="17"/>
  <c r="G8" i="17"/>
  <c r="F15" i="11" s="1"/>
  <c r="G7" i="17"/>
  <c r="F13" i="11" s="1"/>
  <c r="F16" i="11" s="1"/>
  <c r="C26" i="1"/>
  <c r="C28" i="1"/>
  <c r="N13" i="15"/>
  <c r="I29" i="17"/>
  <c r="C13" i="17"/>
  <c r="G6" i="18"/>
  <c r="D7" i="18"/>
  <c r="D9" i="18" s="1"/>
  <c r="G16" i="2"/>
  <c r="G46" i="2"/>
  <c r="G3" i="6" s="1"/>
  <c r="H30" i="4"/>
  <c r="P9" i="16"/>
  <c r="AB10" i="16"/>
  <c r="D10" i="17" s="1"/>
  <c r="Q9" i="15"/>
  <c r="I27" i="17"/>
  <c r="M16" i="15"/>
  <c r="O13" i="16"/>
  <c r="C8" i="16"/>
  <c r="O8" i="16" s="1"/>
  <c r="C7" i="16"/>
  <c r="C61" i="16" s="1"/>
  <c r="G4" i="13"/>
  <c r="F4" i="15"/>
  <c r="Q4" i="15" s="1"/>
  <c r="H3" i="4"/>
  <c r="F5" i="10"/>
  <c r="F16" i="10" s="1"/>
  <c r="G5" i="17"/>
  <c r="G65" i="17" s="1"/>
  <c r="F7" i="11"/>
  <c r="P13" i="16"/>
  <c r="AB13" i="16" s="1"/>
  <c r="AB14" i="16"/>
  <c r="D14" i="17" s="1"/>
  <c r="D13" i="17" s="1"/>
  <c r="C32" i="10"/>
  <c r="D32" i="10" s="1"/>
  <c r="E32" i="10" s="1"/>
  <c r="F32" i="10" s="1"/>
  <c r="E2" i="18"/>
  <c r="F65" i="16"/>
  <c r="E13" i="17"/>
  <c r="H16" i="19"/>
  <c r="G20" i="19"/>
  <c r="E3" i="11"/>
  <c r="E48" i="11"/>
  <c r="F13" i="17"/>
  <c r="F8" i="17" s="1"/>
  <c r="E15" i="11" s="1"/>
  <c r="G5" i="16"/>
  <c r="G2" i="19"/>
  <c r="C33" i="16"/>
  <c r="O41" i="16"/>
  <c r="C41" i="17" s="1"/>
  <c r="I26" i="17"/>
  <c r="I28" i="17"/>
  <c r="I10" i="19"/>
  <c r="H14" i="19"/>
  <c r="Q11" i="15"/>
  <c r="I30" i="17"/>
  <c r="E24" i="11" l="1"/>
  <c r="E42" i="11" s="1"/>
  <c r="B15" i="18"/>
  <c r="O33" i="16"/>
  <c r="F7" i="17"/>
  <c r="E13" i="11" s="1"/>
  <c r="E16" i="11" s="1"/>
  <c r="C5" i="13"/>
  <c r="D31" i="4"/>
  <c r="F13" i="18"/>
  <c r="F21" i="18" s="1"/>
  <c r="F27" i="18" s="1"/>
  <c r="G61" i="16"/>
  <c r="G26" i="1"/>
  <c r="E8" i="17"/>
  <c r="D15" i="11" s="1"/>
  <c r="E7" i="17"/>
  <c r="D13" i="11" s="1"/>
  <c r="D16" i="11" s="1"/>
  <c r="H5" i="16"/>
  <c r="H2" i="19"/>
  <c r="B35" i="11"/>
  <c r="B36" i="11"/>
  <c r="B37" i="11"/>
  <c r="O6" i="16"/>
  <c r="C6" i="17" s="1"/>
  <c r="H13" i="18"/>
  <c r="H21" i="18" s="1"/>
  <c r="H27" i="18" s="1"/>
  <c r="I61" i="16"/>
  <c r="C58" i="17"/>
  <c r="F2" i="18"/>
  <c r="G65" i="16"/>
  <c r="L13" i="18"/>
  <c r="L21" i="18" s="1"/>
  <c r="L27" i="18" s="1"/>
  <c r="M61" i="16"/>
  <c r="B21" i="18"/>
  <c r="J10" i="19"/>
  <c r="I14" i="19"/>
  <c r="D9" i="17"/>
  <c r="I10" i="17"/>
  <c r="I14" i="17"/>
  <c r="O13" i="15"/>
  <c r="E6" i="17" s="1"/>
  <c r="C33" i="2"/>
  <c r="K13" i="18"/>
  <c r="K21" i="18" s="1"/>
  <c r="K27" i="18" s="1"/>
  <c r="L61" i="16"/>
  <c r="J13" i="18"/>
  <c r="J21" i="18" s="1"/>
  <c r="J27" i="18" s="1"/>
  <c r="K61" i="16"/>
  <c r="P7" i="16"/>
  <c r="AB9" i="16"/>
  <c r="P8" i="16"/>
  <c r="AB8" i="16" s="1"/>
  <c r="G30" i="1"/>
  <c r="F30" i="1"/>
  <c r="C29" i="1"/>
  <c r="E30" i="1"/>
  <c r="D30" i="1"/>
  <c r="I17" i="17"/>
  <c r="C8" i="17"/>
  <c r="C7" i="17"/>
  <c r="F24" i="11"/>
  <c r="F42" i="11" s="1"/>
  <c r="F14" i="11"/>
  <c r="P8" i="15"/>
  <c r="L8" i="15"/>
  <c r="Q8" i="15" s="1"/>
  <c r="Q13" i="15" s="1"/>
  <c r="P33" i="16"/>
  <c r="AB41" i="16"/>
  <c r="D41" i="17" s="1"/>
  <c r="D33" i="17" s="1"/>
  <c r="C18" i="11" s="1"/>
  <c r="D45" i="13" s="1"/>
  <c r="E13" i="18"/>
  <c r="E21" i="18" s="1"/>
  <c r="E27" i="18" s="1"/>
  <c r="F61" i="16"/>
  <c r="M13" i="18"/>
  <c r="M21" i="18" s="1"/>
  <c r="M27" i="18" s="1"/>
  <c r="N61" i="16"/>
  <c r="I15" i="17"/>
  <c r="B24" i="18"/>
  <c r="B25" i="18" s="1"/>
  <c r="O7" i="16"/>
  <c r="E36" i="10"/>
  <c r="C22" i="1"/>
  <c r="C19" i="2"/>
  <c r="C68" i="1"/>
  <c r="C11" i="2" s="1"/>
  <c r="C51" i="2" s="1"/>
  <c r="AB59" i="16"/>
  <c r="D59" i="17" s="1"/>
  <c r="D58" i="17" s="1"/>
  <c r="C21" i="11" s="1"/>
  <c r="D48" i="13" s="1"/>
  <c r="Z58" i="16"/>
  <c r="AB58" i="16" s="1"/>
  <c r="I13" i="18"/>
  <c r="I21" i="18" s="1"/>
  <c r="I27" i="18" s="1"/>
  <c r="J61" i="16"/>
  <c r="D13" i="18"/>
  <c r="D21" i="18" s="1"/>
  <c r="D27" i="18" s="1"/>
  <c r="E61" i="16"/>
  <c r="I16" i="17"/>
  <c r="F36" i="10"/>
  <c r="C52" i="2"/>
  <c r="G13" i="18"/>
  <c r="G21" i="18" s="1"/>
  <c r="G27" i="18" s="1"/>
  <c r="H61" i="16"/>
  <c r="G8" i="19"/>
  <c r="G21" i="19" s="1"/>
  <c r="H4" i="19"/>
  <c r="C33" i="17"/>
  <c r="I16" i="19"/>
  <c r="H20" i="19"/>
  <c r="F3" i="11"/>
  <c r="F48" i="11"/>
  <c r="P6" i="16"/>
  <c r="M15" i="15"/>
  <c r="C29" i="11"/>
  <c r="D14" i="1"/>
  <c r="D42" i="1"/>
  <c r="D4" i="2"/>
  <c r="D46" i="1"/>
  <c r="D35" i="2" s="1"/>
  <c r="D16" i="1"/>
  <c r="D20" i="2" s="1"/>
  <c r="C49" i="11"/>
  <c r="D20" i="1"/>
  <c r="D22" i="2" s="1"/>
  <c r="D18" i="1"/>
  <c r="D21" i="2" s="1"/>
  <c r="C13" i="18"/>
  <c r="C21" i="18" s="1"/>
  <c r="C27" i="18" s="1"/>
  <c r="D61" i="16"/>
  <c r="O61" i="16" s="1"/>
  <c r="E59" i="17"/>
  <c r="E58" i="17" s="1"/>
  <c r="D21" i="11" s="1"/>
  <c r="E60" i="1"/>
  <c r="E60" i="17"/>
  <c r="E41" i="17"/>
  <c r="E33" i="17" s="1"/>
  <c r="D18" i="11" s="1"/>
  <c r="F21" i="19"/>
  <c r="G6" i="17" l="1"/>
  <c r="D33" i="2"/>
  <c r="D48" i="1"/>
  <c r="F59" i="17"/>
  <c r="F41" i="17"/>
  <c r="F33" i="17" s="1"/>
  <c r="E18" i="11" s="1"/>
  <c r="F60" i="17"/>
  <c r="F60" i="1"/>
  <c r="B27" i="18"/>
  <c r="B28" i="18" s="1"/>
  <c r="C3" i="18" s="1"/>
  <c r="C10" i="18" s="1"/>
  <c r="C28" i="18" s="1"/>
  <c r="D3" i="18" s="1"/>
  <c r="D10" i="18" s="1"/>
  <c r="D28" i="18" s="1"/>
  <c r="E3" i="18" s="1"/>
  <c r="E10" i="18" s="1"/>
  <c r="E28" i="18" s="1"/>
  <c r="F3" i="18" s="1"/>
  <c r="F10" i="18" s="1"/>
  <c r="F28" i="18" s="1"/>
  <c r="G3" i="18" s="1"/>
  <c r="G10" i="18" s="1"/>
  <c r="G28" i="18" s="1"/>
  <c r="H3" i="18" s="1"/>
  <c r="D19" i="2"/>
  <c r="D22" i="1"/>
  <c r="D68" i="1"/>
  <c r="D11" i="2" s="1"/>
  <c r="D51" i="2" s="1"/>
  <c r="J16" i="19"/>
  <c r="I20" i="19"/>
  <c r="N15" i="18"/>
  <c r="AB33" i="16"/>
  <c r="D8" i="11"/>
  <c r="E61" i="17"/>
  <c r="I6" i="18"/>
  <c r="F7" i="18"/>
  <c r="F9" i="18" s="1"/>
  <c r="C35" i="11"/>
  <c r="C38" i="11" s="1"/>
  <c r="C37" i="11"/>
  <c r="C31" i="11"/>
  <c r="C30" i="11"/>
  <c r="C36" i="11"/>
  <c r="I39" i="17"/>
  <c r="B18" i="11"/>
  <c r="C45" i="13" s="1"/>
  <c r="I42" i="17"/>
  <c r="I36" i="17"/>
  <c r="N24" i="18"/>
  <c r="N25" i="18" s="1"/>
  <c r="AB7" i="16"/>
  <c r="G60" i="17"/>
  <c r="G60" i="1"/>
  <c r="G41" i="17"/>
  <c r="G33" i="17" s="1"/>
  <c r="F18" i="11" s="1"/>
  <c r="G59" i="17"/>
  <c r="G58" i="17" s="1"/>
  <c r="F21" i="11" s="1"/>
  <c r="P13" i="15"/>
  <c r="F6" i="17" s="1"/>
  <c r="I2" i="19"/>
  <c r="I5" i="16"/>
  <c r="I41" i="17"/>
  <c r="B8" i="11"/>
  <c r="C61" i="17"/>
  <c r="H65" i="16"/>
  <c r="G2" i="18"/>
  <c r="E14" i="11"/>
  <c r="E42" i="1"/>
  <c r="D49" i="11"/>
  <c r="E4" i="2"/>
  <c r="E14" i="1"/>
  <c r="E16" i="1"/>
  <c r="E20" i="2" s="1"/>
  <c r="E52" i="2" s="1"/>
  <c r="E46" i="1"/>
  <c r="E35" i="2" s="1"/>
  <c r="E18" i="1"/>
  <c r="E21" i="2" s="1"/>
  <c r="D29" i="11"/>
  <c r="E20" i="1"/>
  <c r="E22" i="2" s="1"/>
  <c r="D52" i="2"/>
  <c r="S6" i="16"/>
  <c r="W6" i="16"/>
  <c r="AA6" i="16"/>
  <c r="T6" i="16"/>
  <c r="X6" i="16"/>
  <c r="Q6" i="16"/>
  <c r="U6" i="16"/>
  <c r="Y6" i="16"/>
  <c r="R6" i="16"/>
  <c r="V6" i="16"/>
  <c r="Z6" i="16"/>
  <c r="N13" i="18"/>
  <c r="N21" i="18" s="1"/>
  <c r="N27" i="18" s="1"/>
  <c r="P61" i="16"/>
  <c r="H8" i="19"/>
  <c r="I4" i="19"/>
  <c r="C30" i="1"/>
  <c r="C32" i="1" s="1"/>
  <c r="C26" i="2"/>
  <c r="C54" i="2" s="1"/>
  <c r="D7" i="17"/>
  <c r="C13" i="11" s="1"/>
  <c r="F26" i="1"/>
  <c r="D8" i="17"/>
  <c r="I9" i="17" s="1"/>
  <c r="D26" i="1"/>
  <c r="E26" i="1"/>
  <c r="I11" i="17"/>
  <c r="I12" i="17"/>
  <c r="D25" i="1"/>
  <c r="J6" i="18"/>
  <c r="G7" i="18"/>
  <c r="G9" i="18" s="1"/>
  <c r="C23" i="2"/>
  <c r="B13" i="11"/>
  <c r="I23" i="17"/>
  <c r="D14" i="11"/>
  <c r="D24" i="11"/>
  <c r="D42" i="11" s="1"/>
  <c r="E31" i="4"/>
  <c r="D5" i="13"/>
  <c r="B15" i="11"/>
  <c r="I18" i="17"/>
  <c r="J14" i="19"/>
  <c r="K10" i="19"/>
  <c r="B21" i="11"/>
  <c r="C48" i="13" s="1"/>
  <c r="B38" i="11"/>
  <c r="G27" i="2"/>
  <c r="D29" i="1" l="1"/>
  <c r="D32" i="1" s="1"/>
  <c r="E29" i="1" s="1"/>
  <c r="E32" i="1" s="1"/>
  <c r="F29" i="1" s="1"/>
  <c r="F32" i="1" s="1"/>
  <c r="G29" i="1" s="1"/>
  <c r="G32" i="1" s="1"/>
  <c r="C37" i="1"/>
  <c r="D28" i="1"/>
  <c r="D26" i="2"/>
  <c r="D54" i="2" s="1"/>
  <c r="F27" i="2"/>
  <c r="F64" i="1"/>
  <c r="F8" i="2" s="1"/>
  <c r="F49" i="2" s="1"/>
  <c r="H21" i="19"/>
  <c r="S13" i="18"/>
  <c r="S21" i="18" s="1"/>
  <c r="S27" i="18" s="1"/>
  <c r="U61" i="16"/>
  <c r="M20" i="15"/>
  <c r="I34" i="17"/>
  <c r="K16" i="19"/>
  <c r="J20" i="19"/>
  <c r="D43" i="13"/>
  <c r="O13" i="18"/>
  <c r="O21" i="18" s="1"/>
  <c r="O27" i="18" s="1"/>
  <c r="Q61" i="16"/>
  <c r="E48" i="1"/>
  <c r="E33" i="2"/>
  <c r="F58" i="17"/>
  <c r="V13" i="18"/>
  <c r="V21" i="18" s="1"/>
  <c r="V27" i="18" s="1"/>
  <c r="X61" i="16"/>
  <c r="D35" i="11"/>
  <c r="D36" i="11"/>
  <c r="D37" i="11"/>
  <c r="D30" i="11"/>
  <c r="D31" i="11"/>
  <c r="I35" i="17"/>
  <c r="D23" i="2"/>
  <c r="D36" i="2"/>
  <c r="G64" i="1"/>
  <c r="G8" i="2" s="1"/>
  <c r="G49" i="2" s="1"/>
  <c r="I8" i="17"/>
  <c r="C43" i="13"/>
  <c r="B16" i="11"/>
  <c r="E27" i="2"/>
  <c r="E64" i="1"/>
  <c r="E8" i="2" s="1"/>
  <c r="E49" i="2" s="1"/>
  <c r="AB6" i="16"/>
  <c r="D6" i="17" s="1"/>
  <c r="R13" i="18"/>
  <c r="R21" i="18" s="1"/>
  <c r="R27" i="18" s="1"/>
  <c r="T61" i="16"/>
  <c r="G42" i="1"/>
  <c r="G4" i="2"/>
  <c r="G14" i="1"/>
  <c r="G46" i="1"/>
  <c r="G35" i="2" s="1"/>
  <c r="G16" i="1"/>
  <c r="G20" i="2" s="1"/>
  <c r="G20" i="1"/>
  <c r="G22" i="2" s="1"/>
  <c r="F49" i="11"/>
  <c r="F29" i="11"/>
  <c r="G18" i="1"/>
  <c r="G21" i="2" s="1"/>
  <c r="I37" i="17"/>
  <c r="B24" i="11"/>
  <c r="B42" i="11" s="1"/>
  <c r="B54" i="11" s="1"/>
  <c r="B14" i="11"/>
  <c r="D27" i="2"/>
  <c r="D64" i="1"/>
  <c r="D8" i="2" s="1"/>
  <c r="D49" i="2" s="1"/>
  <c r="C27" i="2"/>
  <c r="C64" i="1"/>
  <c r="C8" i="2" s="1"/>
  <c r="C49" i="2" s="1"/>
  <c r="X13" i="18"/>
  <c r="X21" i="18" s="1"/>
  <c r="X27" i="18" s="1"/>
  <c r="Z61" i="16"/>
  <c r="Y13" i="18"/>
  <c r="Y21" i="18" s="1"/>
  <c r="Y27" i="18" s="1"/>
  <c r="AA61" i="16"/>
  <c r="I38" i="17"/>
  <c r="D11" i="11"/>
  <c r="D23" i="11" s="1"/>
  <c r="D41" i="11" s="1"/>
  <c r="I59" i="17"/>
  <c r="M21" i="15"/>
  <c r="T13" i="18"/>
  <c r="T21" i="18" s="1"/>
  <c r="T27" i="18" s="1"/>
  <c r="V61" i="16"/>
  <c r="U13" i="18"/>
  <c r="U21" i="18" s="1"/>
  <c r="U27" i="18" s="1"/>
  <c r="W61" i="16"/>
  <c r="C62" i="17"/>
  <c r="H2" i="18"/>
  <c r="I65" i="16"/>
  <c r="M19" i="15"/>
  <c r="P13" i="18"/>
  <c r="P21" i="18" s="1"/>
  <c r="P27" i="18" s="1"/>
  <c r="R61" i="16"/>
  <c r="AB61" i="16" s="1"/>
  <c r="Q13" i="18"/>
  <c r="Q21" i="18" s="1"/>
  <c r="Q27" i="18" s="1"/>
  <c r="S61" i="16"/>
  <c r="E68" i="1"/>
  <c r="E11" i="2" s="1"/>
  <c r="E51" i="2" s="1"/>
  <c r="E19" i="2"/>
  <c r="E22" i="1"/>
  <c r="J2" i="19"/>
  <c r="J5" i="16"/>
  <c r="I40" i="17"/>
  <c r="F4" i="2"/>
  <c r="E49" i="11"/>
  <c r="F42" i="1"/>
  <c r="F16" i="1"/>
  <c r="F20" i="2" s="1"/>
  <c r="F18" i="1"/>
  <c r="F21" i="2" s="1"/>
  <c r="F20" i="1"/>
  <c r="F22" i="2" s="1"/>
  <c r="F14" i="1"/>
  <c r="E29" i="11"/>
  <c r="F46" i="1"/>
  <c r="F35" i="2" s="1"/>
  <c r="F8" i="11"/>
  <c r="G61" i="17"/>
  <c r="K14" i="19"/>
  <c r="L10" i="19"/>
  <c r="D54" i="11"/>
  <c r="D56" i="11"/>
  <c r="C15" i="11"/>
  <c r="I13" i="17"/>
  <c r="I8" i="19"/>
  <c r="I21" i="19" s="1"/>
  <c r="J4" i="19"/>
  <c r="W13" i="18"/>
  <c r="W21" i="18" s="1"/>
  <c r="W27" i="18" s="1"/>
  <c r="Y61" i="16"/>
  <c r="E5" i="13"/>
  <c r="F31" i="4"/>
  <c r="B11" i="11"/>
  <c r="B23" i="11" s="1"/>
  <c r="B41" i="11" s="1"/>
  <c r="C42" i="13"/>
  <c r="C49" i="13" s="1"/>
  <c r="E8" i="11"/>
  <c r="F61" i="17"/>
  <c r="B12" i="11" l="1"/>
  <c r="B22" i="11" s="1"/>
  <c r="F9" i="11"/>
  <c r="F12" i="11"/>
  <c r="F22" i="11" s="1"/>
  <c r="F11" i="11"/>
  <c r="F23" i="11" s="1"/>
  <c r="F41" i="11" s="1"/>
  <c r="F33" i="2"/>
  <c r="F48" i="1"/>
  <c r="E63" i="1"/>
  <c r="D52" i="11"/>
  <c r="E21" i="11"/>
  <c r="I60" i="17"/>
  <c r="H7" i="18"/>
  <c r="H9" i="18" s="1"/>
  <c r="H10" i="18" s="1"/>
  <c r="H28" i="18" s="1"/>
  <c r="I3" i="18" s="1"/>
  <c r="K6" i="18"/>
  <c r="B52" i="11"/>
  <c r="C63" i="1"/>
  <c r="C24" i="11"/>
  <c r="C42" i="11" s="1"/>
  <c r="C14" i="11"/>
  <c r="E54" i="11"/>
  <c r="E56" i="11"/>
  <c r="F54" i="11"/>
  <c r="F55" i="11" s="1"/>
  <c r="F56" i="11"/>
  <c r="G31" i="4"/>
  <c r="G26" i="4" s="1"/>
  <c r="F5" i="13"/>
  <c r="C8" i="11"/>
  <c r="D61" i="17"/>
  <c r="H6" i="17"/>
  <c r="K20" i="19"/>
  <c r="L16" i="19"/>
  <c r="E31" i="11"/>
  <c r="E35" i="11"/>
  <c r="E38" i="11" s="1"/>
  <c r="E36" i="11"/>
  <c r="E37" i="11"/>
  <c r="E30" i="11"/>
  <c r="G52" i="2"/>
  <c r="E36" i="2"/>
  <c r="E53" i="2" s="1"/>
  <c r="F19" i="2"/>
  <c r="F22" i="1"/>
  <c r="F68" i="1"/>
  <c r="F11" i="2" s="1"/>
  <c r="F51" i="2" s="1"/>
  <c r="J65" i="16"/>
  <c r="I2" i="18"/>
  <c r="D38" i="11"/>
  <c r="D37" i="1"/>
  <c r="E25" i="1"/>
  <c r="M10" i="19"/>
  <c r="L14" i="19"/>
  <c r="K2" i="19"/>
  <c r="K5" i="16"/>
  <c r="G19" i="2"/>
  <c r="G22" i="1"/>
  <c r="G68" i="1"/>
  <c r="G11" i="2" s="1"/>
  <c r="G51" i="2" s="1"/>
  <c r="C28" i="2"/>
  <c r="C38" i="1"/>
  <c r="E9" i="11"/>
  <c r="E12" i="11"/>
  <c r="E22" i="11" s="1"/>
  <c r="E11" i="11"/>
  <c r="K4" i="19"/>
  <c r="J8" i="19"/>
  <c r="J21" i="19" s="1"/>
  <c r="E23" i="2"/>
  <c r="H31" i="4"/>
  <c r="H26" i="4" s="1"/>
  <c r="G5" i="13"/>
  <c r="L6" i="18"/>
  <c r="I7" i="18"/>
  <c r="I9" i="18" s="1"/>
  <c r="F52" i="2"/>
  <c r="D12" i="11"/>
  <c r="D22" i="11" s="1"/>
  <c r="F30" i="11"/>
  <c r="F36" i="11"/>
  <c r="F37" i="11"/>
  <c r="F35" i="11"/>
  <c r="F38" i="11" s="1"/>
  <c r="F31" i="11"/>
  <c r="G33" i="2"/>
  <c r="G48" i="1"/>
  <c r="C16" i="11"/>
  <c r="C56" i="11" l="1"/>
  <c r="C54" i="11"/>
  <c r="C29" i="2"/>
  <c r="N10" i="19"/>
  <c r="M14" i="19"/>
  <c r="B28" i="10" s="1"/>
  <c r="C75" i="13" s="1"/>
  <c r="B24" i="10"/>
  <c r="C75" i="1"/>
  <c r="C7" i="2"/>
  <c r="E7" i="2"/>
  <c r="E75" i="1"/>
  <c r="F23" i="2"/>
  <c r="E28" i="1"/>
  <c r="E26" i="2"/>
  <c r="E54" i="2" s="1"/>
  <c r="L20" i="19"/>
  <c r="M16" i="19"/>
  <c r="F36" i="2"/>
  <c r="F53" i="2" s="1"/>
  <c r="D40" i="11"/>
  <c r="D25" i="11"/>
  <c r="D26" i="11" s="1"/>
  <c r="M6" i="18"/>
  <c r="J7" i="18"/>
  <c r="J9" i="18" s="1"/>
  <c r="G23" i="2"/>
  <c r="I10" i="18"/>
  <c r="I28" i="18" s="1"/>
  <c r="J3" i="18" s="1"/>
  <c r="J10" i="18" s="1"/>
  <c r="J28" i="18" s="1"/>
  <c r="K3" i="18" s="1"/>
  <c r="G63" i="1"/>
  <c r="F52" i="11"/>
  <c r="F53" i="11" s="1"/>
  <c r="G36" i="2"/>
  <c r="K8" i="19"/>
  <c r="L4" i="19"/>
  <c r="F40" i="11"/>
  <c r="F25" i="11"/>
  <c r="F26" i="11" s="1"/>
  <c r="D28" i="2"/>
  <c r="D38" i="1"/>
  <c r="E23" i="11"/>
  <c r="E41" i="11" s="1"/>
  <c r="K65" i="16"/>
  <c r="J2" i="18"/>
  <c r="D62" i="17"/>
  <c r="H9" i="17"/>
  <c r="H8" i="17"/>
  <c r="H60" i="17"/>
  <c r="H7" i="17"/>
  <c r="H56" i="17"/>
  <c r="H54" i="17"/>
  <c r="H52" i="17"/>
  <c r="H23" i="17"/>
  <c r="H15" i="17"/>
  <c r="H33" i="17"/>
  <c r="H26" i="17"/>
  <c r="H37" i="17"/>
  <c r="H31" i="17"/>
  <c r="H18" i="17"/>
  <c r="H53" i="17"/>
  <c r="H59" i="17"/>
  <c r="H47" i="17"/>
  <c r="H38" i="17"/>
  <c r="H45" i="17"/>
  <c r="H25" i="17"/>
  <c r="I32" i="17" s="1"/>
  <c r="H14" i="17"/>
  <c r="H42" i="17"/>
  <c r="H43" i="17"/>
  <c r="H27" i="17"/>
  <c r="H36" i="17"/>
  <c r="H10" i="17"/>
  <c r="H51" i="17"/>
  <c r="H39" i="17"/>
  <c r="H35" i="17"/>
  <c r="H12" i="17"/>
  <c r="H13" i="17"/>
  <c r="H40" i="17"/>
  <c r="H17" i="17"/>
  <c r="H44" i="17"/>
  <c r="H19" i="17"/>
  <c r="H55" i="17"/>
  <c r="H30" i="17"/>
  <c r="H11" i="17"/>
  <c r="H24" i="17"/>
  <c r="H29" i="17"/>
  <c r="H50" i="17"/>
  <c r="H28" i="17"/>
  <c r="H16" i="17"/>
  <c r="H41" i="17"/>
  <c r="H58" i="17"/>
  <c r="E40" i="11"/>
  <c r="E25" i="11"/>
  <c r="E26" i="11" s="1"/>
  <c r="L5" i="16"/>
  <c r="L2" i="19"/>
  <c r="D42" i="13"/>
  <c r="D49" i="13" s="1"/>
  <c r="C9" i="11"/>
  <c r="C11" i="11"/>
  <c r="C23" i="11" s="1"/>
  <c r="C41" i="11" s="1"/>
  <c r="C12" i="11"/>
  <c r="C22" i="11" s="1"/>
  <c r="D9" i="11"/>
  <c r="B40" i="11"/>
  <c r="B25" i="11"/>
  <c r="B26" i="11" s="1"/>
  <c r="C65" i="1" l="1"/>
  <c r="B50" i="11"/>
  <c r="B58" i="11" s="1"/>
  <c r="B43" i="11"/>
  <c r="F43" i="13" s="1"/>
  <c r="F44" i="13" s="1"/>
  <c r="L8" i="19"/>
  <c r="L21" i="19" s="1"/>
  <c r="M4" i="19"/>
  <c r="M20" i="19"/>
  <c r="B34" i="10" s="1"/>
  <c r="C76" i="13" s="1"/>
  <c r="B30" i="10"/>
  <c r="N16" i="19"/>
  <c r="E43" i="11"/>
  <c r="E50" i="11"/>
  <c r="F65" i="1"/>
  <c r="F9" i="2" s="1"/>
  <c r="K21" i="19"/>
  <c r="C40" i="11"/>
  <c r="C25" i="11"/>
  <c r="C26" i="11" s="1"/>
  <c r="N14" i="19"/>
  <c r="O10" i="19"/>
  <c r="K2" i="18"/>
  <c r="L65" i="16"/>
  <c r="C52" i="11"/>
  <c r="D63" i="1"/>
  <c r="E52" i="11"/>
  <c r="F63" i="1"/>
  <c r="G53" i="2"/>
  <c r="F25" i="1"/>
  <c r="E37" i="1"/>
  <c r="D29" i="2"/>
  <c r="F43" i="11"/>
  <c r="F50" i="11"/>
  <c r="G65" i="1"/>
  <c r="G9" i="2" s="1"/>
  <c r="D43" i="11"/>
  <c r="E65" i="1"/>
  <c r="D50" i="11"/>
  <c r="D58" i="11" s="1"/>
  <c r="M5" i="16"/>
  <c r="M2" i="19"/>
  <c r="G75" i="1"/>
  <c r="C111" i="13" s="1"/>
  <c r="G7" i="2"/>
  <c r="G76" i="1"/>
  <c r="C112" i="13" s="1"/>
  <c r="G66" i="1"/>
  <c r="G10" i="2" s="1"/>
  <c r="G50" i="2" s="1"/>
  <c r="G70" i="1"/>
  <c r="F51" i="11" l="1"/>
  <c r="F58" i="11"/>
  <c r="F7" i="2"/>
  <c r="F75" i="1"/>
  <c r="F66" i="1"/>
  <c r="F10" i="2" s="1"/>
  <c r="F50" i="2" s="1"/>
  <c r="F76" i="1"/>
  <c r="F70" i="1"/>
  <c r="N20" i="19"/>
  <c r="O16" i="19"/>
  <c r="C43" i="11"/>
  <c r="D65" i="1"/>
  <c r="D9" i="2" s="1"/>
  <c r="C50" i="11"/>
  <c r="C58" i="11" s="1"/>
  <c r="N2" i="19"/>
  <c r="N5" i="16"/>
  <c r="D7" i="2"/>
  <c r="D66" i="1"/>
  <c r="D10" i="2" s="1"/>
  <c r="D50" i="2" s="1"/>
  <c r="D75" i="1"/>
  <c r="M65" i="16"/>
  <c r="L2" i="18"/>
  <c r="N4" i="19"/>
  <c r="B18" i="10"/>
  <c r="M8" i="19"/>
  <c r="E28" i="2"/>
  <c r="E38" i="1"/>
  <c r="K7" i="18"/>
  <c r="K9" i="18" s="1"/>
  <c r="K10" i="18" s="1"/>
  <c r="K28" i="18" s="1"/>
  <c r="L3" i="18" s="1"/>
  <c r="N6" i="18"/>
  <c r="L7" i="18"/>
  <c r="L9" i="18" s="1"/>
  <c r="O6" i="18"/>
  <c r="G12" i="2"/>
  <c r="G73" i="1"/>
  <c r="G71" i="1"/>
  <c r="G13" i="2" s="1"/>
  <c r="E9" i="2"/>
  <c r="E76" i="1"/>
  <c r="E66" i="1"/>
  <c r="E10" i="2" s="1"/>
  <c r="E50" i="2" s="1"/>
  <c r="F26" i="2"/>
  <c r="F54" i="2" s="1"/>
  <c r="F28" i="1"/>
  <c r="O14" i="19"/>
  <c r="P10" i="19"/>
  <c r="E58" i="11"/>
  <c r="C9" i="2"/>
  <c r="C76" i="1"/>
  <c r="C66" i="1"/>
  <c r="C10" i="2" s="1"/>
  <c r="C50" i="2" s="1"/>
  <c r="C70" i="1" l="1"/>
  <c r="G25" i="1"/>
  <c r="F37" i="1"/>
  <c r="F12" i="2"/>
  <c r="F71" i="1"/>
  <c r="F13" i="2" s="1"/>
  <c r="O4" i="19"/>
  <c r="N8" i="19"/>
  <c r="M2" i="18"/>
  <c r="N65" i="16"/>
  <c r="M21" i="19"/>
  <c r="B22" i="10"/>
  <c r="O2" i="19"/>
  <c r="P5" i="16"/>
  <c r="G14" i="2"/>
  <c r="G77" i="1"/>
  <c r="C113" i="13" s="1"/>
  <c r="E70" i="1"/>
  <c r="L10" i="18"/>
  <c r="L28" i="18" s="1"/>
  <c r="M3" i="18" s="1"/>
  <c r="D70" i="1"/>
  <c r="E29" i="2"/>
  <c r="P14" i="19"/>
  <c r="Q10" i="19"/>
  <c r="D76" i="1"/>
  <c r="O20" i="19"/>
  <c r="P16" i="19"/>
  <c r="P2" i="19" l="1"/>
  <c r="Q5" i="16"/>
  <c r="P20" i="19"/>
  <c r="Q16" i="19"/>
  <c r="D12" i="2"/>
  <c r="D71" i="1"/>
  <c r="D13" i="2" s="1"/>
  <c r="B35" i="10"/>
  <c r="C74" i="13"/>
  <c r="F73" i="1"/>
  <c r="P6" i="18"/>
  <c r="M7" i="18"/>
  <c r="M9" i="18" s="1"/>
  <c r="M10" i="18" s="1"/>
  <c r="M28" i="18" s="1"/>
  <c r="N3" i="18" s="1"/>
  <c r="E12" i="2"/>
  <c r="E71" i="1"/>
  <c r="E13" i="2" s="1"/>
  <c r="F28" i="2"/>
  <c r="F38" i="1"/>
  <c r="R10" i="19"/>
  <c r="Q14" i="19"/>
  <c r="G26" i="2"/>
  <c r="G54" i="2" s="1"/>
  <c r="G28" i="1"/>
  <c r="G37" i="1" s="1"/>
  <c r="N21" i="19"/>
  <c r="C71" i="1"/>
  <c r="C12" i="2"/>
  <c r="N2" i="18"/>
  <c r="P65" i="16"/>
  <c r="G6" i="13"/>
  <c r="G48" i="2"/>
  <c r="P4" i="19"/>
  <c r="O8" i="19"/>
  <c r="O21" i="19" s="1"/>
  <c r="H32" i="4" l="1"/>
  <c r="G55" i="2"/>
  <c r="D73" i="1"/>
  <c r="O7" i="18"/>
  <c r="O9" i="18" s="1"/>
  <c r="R6" i="18"/>
  <c r="G28" i="2"/>
  <c r="G38" i="1"/>
  <c r="C44" i="1"/>
  <c r="C13" i="2"/>
  <c r="Q20" i="19"/>
  <c r="R16" i="19"/>
  <c r="S10" i="19"/>
  <c r="R14" i="19"/>
  <c r="C73" i="1"/>
  <c r="F29" i="2"/>
  <c r="F14" i="2"/>
  <c r="F77" i="1"/>
  <c r="Q65" i="16"/>
  <c r="O2" i="18"/>
  <c r="R5" i="16"/>
  <c r="Q2" i="19"/>
  <c r="Q4" i="19"/>
  <c r="P8" i="19"/>
  <c r="P21" i="19" s="1"/>
  <c r="N7" i="18"/>
  <c r="N9" i="18" s="1"/>
  <c r="N10" i="18" s="1"/>
  <c r="N28" i="18" s="1"/>
  <c r="O3" i="18" s="1"/>
  <c r="O10" i="18" s="1"/>
  <c r="O28" i="18" s="1"/>
  <c r="P3" i="18" s="1"/>
  <c r="Q6" i="18"/>
  <c r="E73" i="1"/>
  <c r="B39" i="10"/>
  <c r="B38" i="10"/>
  <c r="E77" i="1" l="1"/>
  <c r="E14" i="2"/>
  <c r="T10" i="19"/>
  <c r="S14" i="19"/>
  <c r="F48" i="2"/>
  <c r="F6" i="13"/>
  <c r="S16" i="19"/>
  <c r="R20" i="19"/>
  <c r="D77" i="1"/>
  <c r="D14" i="2"/>
  <c r="P7" i="18"/>
  <c r="P9" i="18" s="1"/>
  <c r="P10" i="18" s="1"/>
  <c r="P28" i="18" s="1"/>
  <c r="Q3" i="18" s="1"/>
  <c r="S6" i="18"/>
  <c r="R4" i="19"/>
  <c r="Q8" i="19"/>
  <c r="Q21" i="19" s="1"/>
  <c r="H11" i="3"/>
  <c r="F7" i="3"/>
  <c r="H10" i="3"/>
  <c r="G7" i="13"/>
  <c r="G9" i="3"/>
  <c r="G4" i="6"/>
  <c r="F8" i="3"/>
  <c r="H7" i="3"/>
  <c r="H8" i="3"/>
  <c r="E67" i="2"/>
  <c r="G7" i="3"/>
  <c r="H9" i="3"/>
  <c r="F9" i="3"/>
  <c r="D67" i="2"/>
  <c r="G8" i="3"/>
  <c r="C67" i="2"/>
  <c r="F10" i="3"/>
  <c r="G11" i="3"/>
  <c r="F11" i="3"/>
  <c r="G10" i="3"/>
  <c r="R2" i="19"/>
  <c r="S5" i="16"/>
  <c r="C14" i="2"/>
  <c r="C77" i="1"/>
  <c r="C54" i="1"/>
  <c r="C34" i="2"/>
  <c r="C48" i="1"/>
  <c r="C50" i="1"/>
  <c r="H25" i="4"/>
  <c r="D45" i="4"/>
  <c r="R65" i="16"/>
  <c r="P2" i="18"/>
  <c r="G29" i="2"/>
  <c r="C8" i="7" l="1"/>
  <c r="D61" i="4"/>
  <c r="S2" i="19"/>
  <c r="T5" i="16"/>
  <c r="C38" i="2"/>
  <c r="T14" i="19"/>
  <c r="U10" i="19"/>
  <c r="C55" i="1"/>
  <c r="C43" i="2" s="1"/>
  <c r="C36" i="2"/>
  <c r="D48" i="2"/>
  <c r="D6" i="13"/>
  <c r="S65" i="16"/>
  <c r="Q2" i="18"/>
  <c r="D54" i="1"/>
  <c r="C42" i="2"/>
  <c r="E6" i="13"/>
  <c r="E48" i="2"/>
  <c r="F55" i="2"/>
  <c r="G32" i="4"/>
  <c r="G25" i="4" s="1"/>
  <c r="T6" i="18"/>
  <c r="Q7" i="18"/>
  <c r="Q9" i="18" s="1"/>
  <c r="Q10" i="18" s="1"/>
  <c r="Q28" i="18" s="1"/>
  <c r="R3" i="18" s="1"/>
  <c r="S20" i="19"/>
  <c r="T16" i="19"/>
  <c r="C48" i="2"/>
  <c r="C6" i="13"/>
  <c r="R8" i="19"/>
  <c r="S4" i="19"/>
  <c r="E55" i="2" l="1"/>
  <c r="F32" i="4"/>
  <c r="E32" i="4"/>
  <c r="R2" i="18"/>
  <c r="T65" i="16"/>
  <c r="D32" i="4"/>
  <c r="D25" i="4" s="1"/>
  <c r="C55" i="2"/>
  <c r="C53" i="2"/>
  <c r="D53" i="2"/>
  <c r="D55" i="2" s="1"/>
  <c r="U5" i="16"/>
  <c r="T2" i="19"/>
  <c r="R21" i="19"/>
  <c r="T20" i="19"/>
  <c r="U16" i="19"/>
  <c r="U14" i="19"/>
  <c r="V10" i="19"/>
  <c r="E54" i="1"/>
  <c r="D42" i="2"/>
  <c r="D50" i="1"/>
  <c r="F4" i="6"/>
  <c r="F7" i="13"/>
  <c r="T4" i="19"/>
  <c r="S8" i="19"/>
  <c r="S21" i="19" s="1"/>
  <c r="D7" i="13" l="1"/>
  <c r="D66" i="2"/>
  <c r="D68" i="2" s="1"/>
  <c r="D70" i="2" s="1"/>
  <c r="E8" i="4" s="1"/>
  <c r="D4" i="6"/>
  <c r="D38" i="2"/>
  <c r="D55" i="1"/>
  <c r="D43" i="2" s="1"/>
  <c r="U6" i="18"/>
  <c r="R7" i="18"/>
  <c r="R9" i="18" s="1"/>
  <c r="R10" i="18" s="1"/>
  <c r="R28" i="18" s="1"/>
  <c r="S3" i="18" s="1"/>
  <c r="S10" i="18" s="1"/>
  <c r="S28" i="18" s="1"/>
  <c r="T3" i="18" s="1"/>
  <c r="V6" i="18"/>
  <c r="S7" i="18"/>
  <c r="S9" i="18" s="1"/>
  <c r="F54" i="1"/>
  <c r="E42" i="2"/>
  <c r="E50" i="1"/>
  <c r="S2" i="18"/>
  <c r="U65" i="16"/>
  <c r="T8" i="19"/>
  <c r="U4" i="19"/>
  <c r="W10" i="19"/>
  <c r="V14" i="19"/>
  <c r="U2" i="19"/>
  <c r="V5" i="16"/>
  <c r="E7" i="13"/>
  <c r="E66" i="2"/>
  <c r="E68" i="2" s="1"/>
  <c r="E70" i="2" s="1"/>
  <c r="F8" i="4" s="1"/>
  <c r="F25" i="4" s="1"/>
  <c r="E4" i="6"/>
  <c r="V16" i="19"/>
  <c r="U20" i="19"/>
  <c r="C11" i="3"/>
  <c r="C4" i="6"/>
  <c r="C8" i="3"/>
  <c r="C7" i="13"/>
  <c r="C66" i="2"/>
  <c r="C68" i="2" s="1"/>
  <c r="C70" i="2" s="1"/>
  <c r="C10" i="3"/>
  <c r="C9" i="3"/>
  <c r="C7" i="3"/>
  <c r="L10" i="3" l="1"/>
  <c r="G20" i="3" s="1"/>
  <c r="M10" i="3"/>
  <c r="H20" i="3" s="1"/>
  <c r="K10" i="3"/>
  <c r="F20" i="3" s="1"/>
  <c r="V4" i="19"/>
  <c r="U8" i="19"/>
  <c r="U21" i="19" s="1"/>
  <c r="M8" i="3"/>
  <c r="H18" i="3" s="1"/>
  <c r="K8" i="3"/>
  <c r="F18" i="3" s="1"/>
  <c r="L8" i="3"/>
  <c r="G18" i="3" s="1"/>
  <c r="V65" i="16"/>
  <c r="T2" i="18"/>
  <c r="C10" i="7"/>
  <c r="C11" i="7" s="1"/>
  <c r="D39" i="4"/>
  <c r="C5" i="6"/>
  <c r="F5" i="6"/>
  <c r="D5" i="6"/>
  <c r="E5" i="6"/>
  <c r="G5" i="6"/>
  <c r="W5" i="16"/>
  <c r="V2" i="19"/>
  <c r="E38" i="2"/>
  <c r="E55" i="1"/>
  <c r="E43" i="2" s="1"/>
  <c r="M11" i="3"/>
  <c r="H21" i="3" s="1"/>
  <c r="K11" i="3"/>
  <c r="F21" i="3" s="1"/>
  <c r="L11" i="3"/>
  <c r="G21" i="3" s="1"/>
  <c r="K7" i="3"/>
  <c r="F17" i="3" s="1"/>
  <c r="M7" i="3"/>
  <c r="H17" i="3" s="1"/>
  <c r="L7" i="3"/>
  <c r="G17" i="3" s="1"/>
  <c r="G54" i="1"/>
  <c r="F42" i="2"/>
  <c r="F50" i="1"/>
  <c r="L9" i="3"/>
  <c r="G19" i="3" s="1"/>
  <c r="K9" i="3"/>
  <c r="F19" i="3" s="1"/>
  <c r="M9" i="3"/>
  <c r="H19" i="3" s="1"/>
  <c r="W16" i="19"/>
  <c r="V20" i="19"/>
  <c r="X10" i="19"/>
  <c r="W14" i="19"/>
  <c r="F9" i="4"/>
  <c r="E39" i="4"/>
  <c r="E38" i="4" s="1"/>
  <c r="E12" i="4"/>
  <c r="E26" i="4"/>
  <c r="F27" i="4"/>
  <c r="G9" i="4"/>
  <c r="G27" i="4" s="1"/>
  <c r="F26" i="4"/>
  <c r="T21" i="19"/>
  <c r="E25" i="4"/>
  <c r="Y10" i="19" l="1"/>
  <c r="X14" i="19"/>
  <c r="G42" i="2"/>
  <c r="G50" i="1"/>
  <c r="X16" i="19"/>
  <c r="W20" i="19"/>
  <c r="W2" i="19"/>
  <c r="X5" i="16"/>
  <c r="D38" i="4"/>
  <c r="D55" i="4"/>
  <c r="D8" i="4"/>
  <c r="U2" i="18"/>
  <c r="W65" i="16"/>
  <c r="U7" i="18"/>
  <c r="U9" i="18" s="1"/>
  <c r="X6" i="18"/>
  <c r="V8" i="19"/>
  <c r="V21" i="19" s="1"/>
  <c r="W4" i="19"/>
  <c r="W6" i="18"/>
  <c r="T7" i="18"/>
  <c r="T9" i="18" s="1"/>
  <c r="T10" i="18" s="1"/>
  <c r="T28" i="18" s="1"/>
  <c r="U3" i="18" s="1"/>
  <c r="F38" i="2"/>
  <c r="F55" i="1"/>
  <c r="F43" i="2" s="1"/>
  <c r="H50" i="1"/>
  <c r="X2" i="19" l="1"/>
  <c r="Y5" i="16"/>
  <c r="X20" i="19"/>
  <c r="Y16" i="19"/>
  <c r="U10" i="18"/>
  <c r="U28" i="18" s="1"/>
  <c r="V3" i="18" s="1"/>
  <c r="G38" i="2"/>
  <c r="G55" i="1"/>
  <c r="G43" i="2" s="1"/>
  <c r="D14" i="4"/>
  <c r="D12" i="4"/>
  <c r="D13" i="4"/>
  <c r="E9" i="4"/>
  <c r="D26" i="4"/>
  <c r="E27" i="4"/>
  <c r="V2" i="18"/>
  <c r="X65" i="16"/>
  <c r="W8" i="19"/>
  <c r="W21" i="19" s="1"/>
  <c r="W7" i="18" s="1"/>
  <c r="W9" i="18" s="1"/>
  <c r="X4" i="19"/>
  <c r="Y6" i="18"/>
  <c r="V7" i="18"/>
  <c r="V9" i="18" s="1"/>
  <c r="Y14" i="19"/>
  <c r="C28" i="10" s="1"/>
  <c r="D75" i="13" s="1"/>
  <c r="C24" i="10"/>
  <c r="D24" i="10" s="1"/>
  <c r="V10" i="18" l="1"/>
  <c r="V28" i="18" s="1"/>
  <c r="W3" i="18" s="1"/>
  <c r="W10" i="18" s="1"/>
  <c r="W28" i="18" s="1"/>
  <c r="X3" i="18" s="1"/>
  <c r="D28" i="10"/>
  <c r="E75" i="13" s="1"/>
  <c r="E24" i="10"/>
  <c r="Y20" i="19"/>
  <c r="C34" i="10" s="1"/>
  <c r="D76" i="13" s="1"/>
  <c r="C30" i="10"/>
  <c r="D30" i="10" s="1"/>
  <c r="D40" i="4"/>
  <c r="D57" i="4"/>
  <c r="D19" i="4"/>
  <c r="D15" i="4"/>
  <c r="D21" i="4" s="1"/>
  <c r="E13" i="4"/>
  <c r="X8" i="19"/>
  <c r="X21" i="19" s="1"/>
  <c r="X7" i="18" s="1"/>
  <c r="X9" i="18" s="1"/>
  <c r="Y4" i="19"/>
  <c r="D20" i="4"/>
  <c r="E20" i="4" s="1"/>
  <c r="F20" i="4" s="1"/>
  <c r="G20" i="4" s="1"/>
  <c r="H20" i="4" s="1"/>
  <c r="E14" i="4"/>
  <c r="F14" i="4" s="1"/>
  <c r="G14" i="4" s="1"/>
  <c r="H14" i="4" s="1"/>
  <c r="Y65" i="16"/>
  <c r="W2" i="18"/>
  <c r="Z5" i="16"/>
  <c r="Y2" i="19"/>
  <c r="AA5" i="16" s="1"/>
  <c r="D34" i="10" l="1"/>
  <c r="E76" i="13" s="1"/>
  <c r="E30" i="10"/>
  <c r="AA65" i="16"/>
  <c r="Y2" i="18"/>
  <c r="F13" i="4"/>
  <c r="E40" i="4"/>
  <c r="E16" i="4"/>
  <c r="E15" i="4"/>
  <c r="Z65" i="16"/>
  <c r="X2" i="18"/>
  <c r="E28" i="10"/>
  <c r="F75" i="13" s="1"/>
  <c r="F24" i="10"/>
  <c r="F28" i="10" s="1"/>
  <c r="G75" i="13" s="1"/>
  <c r="D22" i="4"/>
  <c r="D41" i="4"/>
  <c r="E19" i="4"/>
  <c r="Y8" i="19"/>
  <c r="C18" i="10"/>
  <c r="D18" i="10" s="1"/>
  <c r="D16" i="4"/>
  <c r="X10" i="18"/>
  <c r="X28" i="18" s="1"/>
  <c r="Y3" i="18" s="1"/>
  <c r="Y21" i="19" l="1"/>
  <c r="Y7" i="18" s="1"/>
  <c r="Y9" i="18" s="1"/>
  <c r="C22" i="10"/>
  <c r="G13" i="4"/>
  <c r="F40" i="4"/>
  <c r="C14" i="7" s="1"/>
  <c r="C15" i="7" s="1"/>
  <c r="C16" i="7" s="1"/>
  <c r="C17" i="7" s="1"/>
  <c r="F15" i="4"/>
  <c r="F16" i="4" s="1"/>
  <c r="Y10" i="18"/>
  <c r="Y28" i="18" s="1"/>
  <c r="E34" i="10"/>
  <c r="F76" i="13" s="1"/>
  <c r="F30" i="10"/>
  <c r="F34" i="10" s="1"/>
  <c r="G76" i="13" s="1"/>
  <c r="E21" i="4"/>
  <c r="E22" i="4"/>
  <c r="F19" i="4"/>
  <c r="E41" i="4"/>
  <c r="D22" i="10"/>
  <c r="E18" i="10"/>
  <c r="F18" i="10" l="1"/>
  <c r="F22" i="10" s="1"/>
  <c r="E22" i="10"/>
  <c r="F41" i="4"/>
  <c r="G19" i="4"/>
  <c r="F21" i="4"/>
  <c r="F22" i="4" s="1"/>
  <c r="G16" i="4"/>
  <c r="H13" i="4"/>
  <c r="G40" i="4"/>
  <c r="G15" i="4"/>
  <c r="D35" i="10"/>
  <c r="E74" i="13"/>
  <c r="C35" i="10"/>
  <c r="D74" i="13"/>
  <c r="H16" i="4" l="1"/>
  <c r="H15" i="4"/>
  <c r="H40" i="4"/>
  <c r="D49" i="4" s="1"/>
  <c r="C39" i="10"/>
  <c r="C38" i="10"/>
  <c r="G41" i="4"/>
  <c r="H19" i="4"/>
  <c r="G22" i="4"/>
  <c r="G21" i="4"/>
  <c r="D39" i="10"/>
  <c r="D38" i="10"/>
  <c r="F74" i="13"/>
  <c r="E35" i="10"/>
  <c r="G74" i="13"/>
  <c r="F35" i="10"/>
  <c r="F39" i="10" l="1"/>
  <c r="F38" i="10"/>
  <c r="H41" i="4"/>
  <c r="E49" i="4" s="1"/>
  <c r="H21" i="4"/>
  <c r="H22" i="4"/>
  <c r="E39" i="10"/>
  <c r="E38" i="10"/>
  <c r="D50" i="4"/>
  <c r="D63" i="4" s="1"/>
  <c r="H33" i="4"/>
  <c r="D51" i="4" s="1"/>
  <c r="E50" i="4" l="1"/>
  <c r="H34" i="4"/>
  <c r="E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  <author>Douglas Abrams</author>
  </authors>
  <commentList>
    <comment ref="B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C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B2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C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B2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C2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B2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C2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B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C30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lastest price of the current year.</t>
        </r>
      </text>
    </comment>
    <comment ref="B3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C3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total units sold in the year.</t>
        </r>
      </text>
    </comment>
    <comment ref="A39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This should be as close to 1 as possible.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Douglas Abrams</author>
  </authors>
  <commentList>
    <comment ref="A1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Douglas Abrams:  This input allows you to assign product developers costs to COGS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Percentage of infrastructure spending to assign to Cap Ex; the rest is expensed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Abrams</author>
    <author>Douglas</author>
  </authors>
  <commentList>
    <comment ref="B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Input funds raised here.  You can raise multiple rounds of funding.</t>
        </r>
      </text>
    </comment>
    <comment ref="B11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If revenue in a particular year is 0, input actual numbers rather than as a percentage of sales</t>
        </r>
      </text>
    </comment>
    <comment ref="B44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Douglas:</t>
        </r>
        <r>
          <rPr>
            <sz val="8"/>
            <color indexed="81"/>
            <rFont val="Tahoma"/>
            <family val="2"/>
          </rPr>
          <t xml:space="preserve">
Not required outside of the US.</t>
        </r>
      </text>
    </comment>
    <comment ref="B50" authorId="1" shapeId="0" xr:uid="{00000000-0006-0000-0700-000004000000}">
      <text>
        <r>
          <rPr>
            <b/>
            <sz val="8"/>
            <color indexed="81"/>
            <rFont val="Tahoma"/>
            <family val="2"/>
          </rPr>
          <t>Douglas:</t>
        </r>
        <r>
          <rPr>
            <sz val="8"/>
            <color indexed="81"/>
            <rFont val="Tahoma"/>
            <family val="2"/>
          </rPr>
          <t xml:space="preserve">
The numbers in this row should be as close to zero as possible.  Positive numbers mean you have a cash shortfall; negative numbers mean a cash surplus.</t>
        </r>
      </text>
    </comment>
    <comment ref="B59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 5 years of projected balance sheet, income statement and cash flow statements.  Remember that you should be generating a minimum of $50MM in revenue within 5 years to achieve scalability.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A6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A/R collection depends on the credit policy of the company. For example, payment must be made within 90 days from the purchase.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Abrams</author>
  </authors>
  <commentList>
    <comment ref="C70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Valuation:</t>
        </r>
        <r>
          <rPr>
            <sz val="8"/>
            <color indexed="81"/>
            <rFont val="Tahoma"/>
            <family val="2"/>
          </rPr>
          <t xml:space="preserve">  How much is your business worth, based on the DCF valuation of your projected cash flows at an 80% discount rate?  Make sure that you can explain how you arrived at this valuation.  For seed stage companies, this should generally be in the range of $2-4 MM.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</author>
    <author>Douglas Abrams</author>
  </authors>
  <commentList>
    <comment ref="C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Douglas:</t>
        </r>
        <r>
          <rPr>
            <sz val="8"/>
            <color indexed="81"/>
            <rFont val="Tahoma"/>
            <family val="2"/>
          </rPr>
          <t xml:space="preserve">
Total investment is read from the Funding required line on the input sheet</t>
        </r>
      </text>
    </comment>
    <comment ref="C6" authorId="0" shapeId="0" xr:uid="{00000000-0006-0000-0A00-000002000000}">
      <text>
        <r>
          <rPr>
            <b/>
            <sz val="8"/>
            <color indexed="81"/>
            <rFont val="Tahoma"/>
            <family val="2"/>
          </rPr>
          <t>Douglas:</t>
        </r>
        <r>
          <rPr>
            <sz val="8"/>
            <color indexed="81"/>
            <rFont val="Tahoma"/>
            <family val="2"/>
          </rPr>
          <t xml:space="preserve">
After the first round, enter the Seed investor's portion of any subsequent round.</t>
        </r>
      </text>
    </comment>
    <comment ref="C8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Valuation calculated for Y1-3; after that need to input</t>
        </r>
      </text>
    </comment>
    <comment ref="C37" authorId="1" shapeId="0" xr:uid="{00000000-0006-0000-0A00-000004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Funding required and equity offered </t>
        </r>
        <r>
          <rPr>
            <sz val="8"/>
            <color indexed="81"/>
            <rFont val="Tahoma"/>
            <family val="2"/>
          </rPr>
          <t>– how much money do you need to raise and how much equity will the investor receive?  You should generally be raising around $0.6MM to $1.5MM at this stage.  Remember that if you are raising less than $1MM, you will likely be seeking investment from Angel investors rather than from VCs. Equity offered in the seed stage should usually be in the range of 15-30%</t>
        </r>
      </text>
    </comment>
    <comment ref="C44" authorId="1" shapeId="0" xr:uid="{00000000-0006-0000-0A00-000005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Check Times Earnings ratios for comparable publicly traded companies to derive one for your company at exit. Note that 2.2 will be too low in most cases.</t>
        </r>
      </text>
    </comment>
    <comment ref="C50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Investor ROI should be at least 30 times and preferably 50-100 times over 5 years.  Remember that the investor IRR in our model is an annual return.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 Abrams</author>
  </authors>
  <commentList>
    <comment ref="C6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Refers to VC's cost of capital; not company's cost of capital - should be 15-30%</t>
        </r>
      </text>
    </comment>
    <comment ref="C7" authorId="0" shapeId="0" xr:uid="{00000000-0006-0000-0D00-000002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Probability of a successful exit at the exit valuation below</t>
        </r>
      </text>
    </comment>
    <comment ref="C13" authorId="0" shapeId="0" xr:uid="{00000000-0006-0000-0D00-000003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Given cost of VC, probability of exit and years to exit, multiple of investment required</t>
        </r>
      </text>
    </comment>
    <comment ref="C14" authorId="0" shapeId="0" xr:uid="{00000000-0006-0000-0D00-000004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At exit, after dilution</t>
        </r>
      </text>
    </comment>
    <comment ref="D14" authorId="0" shapeId="0" xr:uid="{00000000-0006-0000-0D00-000005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At exit, after dilution</t>
        </r>
      </text>
    </comment>
    <comment ref="C15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Exit valuation * retention percentage / target multiple</t>
        </r>
      </text>
    </comment>
    <comment ref="C16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Equity offered * total valuation</t>
        </r>
      </text>
    </comment>
    <comment ref="C17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Douglas Abrams:</t>
        </r>
        <r>
          <rPr>
            <sz val="8"/>
            <color indexed="81"/>
            <rFont val="Tahoma"/>
            <family val="2"/>
          </rPr>
          <t xml:space="preserve">
Partial valuation greater than required funding then invest</t>
        </r>
      </text>
    </comment>
  </commentList>
</comments>
</file>

<file path=xl/sharedStrings.xml><?xml version="1.0" encoding="utf-8"?>
<sst xmlns="http://schemas.openxmlformats.org/spreadsheetml/2006/main" count="682" uniqueCount="475">
  <si>
    <t>Current assets</t>
  </si>
  <si>
    <t>Accounts receivable</t>
  </si>
  <si>
    <t>Inventory</t>
  </si>
  <si>
    <t>Prepaid expenses and other current assets</t>
  </si>
  <si>
    <t>Property and equipment</t>
  </si>
  <si>
    <t xml:space="preserve">     At cost</t>
  </si>
  <si>
    <t xml:space="preserve">     Less accumulated depreciation</t>
  </si>
  <si>
    <t xml:space="preserve">     Net property and equipment</t>
  </si>
  <si>
    <t>Total assets</t>
  </si>
  <si>
    <t>Current liabilities</t>
  </si>
  <si>
    <t>Accounts payable and accrued expenses</t>
  </si>
  <si>
    <t>Income taxes payable</t>
  </si>
  <si>
    <t>Other current liabilities</t>
  </si>
  <si>
    <t>Stockholders' equity</t>
  </si>
  <si>
    <t>Common stock</t>
  </si>
  <si>
    <t>Retained earnings</t>
  </si>
  <si>
    <t>Total liabilities and equity</t>
  </si>
  <si>
    <t>Income statement</t>
  </si>
  <si>
    <t>Sales</t>
  </si>
  <si>
    <t>Total sales</t>
  </si>
  <si>
    <t>Operating expenses</t>
  </si>
  <si>
    <t>Depreciation</t>
  </si>
  <si>
    <t>Selling, general, and administrative expenses</t>
  </si>
  <si>
    <t>Interest expense</t>
  </si>
  <si>
    <t>Interest income</t>
  </si>
  <si>
    <t>Earnings before income taxes</t>
  </si>
  <si>
    <t>Provision for income taxes</t>
  </si>
  <si>
    <t>Profit after taxes</t>
  </si>
  <si>
    <t>Balance Sheet</t>
  </si>
  <si>
    <t>Cost of goods sold</t>
  </si>
  <si>
    <t xml:space="preserve">   income tax rate</t>
  </si>
  <si>
    <t xml:space="preserve">   Income taxes payable (as % of income tax)</t>
  </si>
  <si>
    <t>Cash and marketable securities</t>
  </si>
  <si>
    <t xml:space="preserve">   interest income rate</t>
  </si>
  <si>
    <t xml:space="preserve">   interest expense rate</t>
  </si>
  <si>
    <t xml:space="preserve">        depreciation rate</t>
  </si>
  <si>
    <t>Balance sheet</t>
  </si>
  <si>
    <t>Current Assets</t>
  </si>
  <si>
    <t>Total current assets</t>
  </si>
  <si>
    <t>Total current liabilities</t>
  </si>
  <si>
    <t>Profit after Taxes</t>
  </si>
  <si>
    <t>Add back depreciation</t>
  </si>
  <si>
    <t>Add back interest expenses, net of taxes</t>
  </si>
  <si>
    <t>Subtract interest costs, net of taxes</t>
  </si>
  <si>
    <t>Subtract increase in Current Assets, except Cash</t>
  </si>
  <si>
    <t>Add back increase in Current Liabilities</t>
  </si>
  <si>
    <t>Subtract increase in Property and Equipment at Cost</t>
  </si>
  <si>
    <t>Free Cash Flow</t>
  </si>
  <si>
    <t>Unlevered value of the firm</t>
  </si>
  <si>
    <t>Value of Equity</t>
  </si>
  <si>
    <t xml:space="preserve">Cost of goods sold </t>
  </si>
  <si>
    <t>Projected Free Cash Flow</t>
  </si>
  <si>
    <t>Cost of capital</t>
  </si>
  <si>
    <t>Terminal Growth of Free Cash Flows</t>
  </si>
  <si>
    <t>Present value of Free Cash Flows</t>
  </si>
  <si>
    <t>Terminal value</t>
  </si>
  <si>
    <t>Value of Debt at end Year 1</t>
  </si>
  <si>
    <t>WACC</t>
  </si>
  <si>
    <t>Exit Year</t>
  </si>
  <si>
    <t>Earnings</t>
  </si>
  <si>
    <t>Pre-money valuation</t>
  </si>
  <si>
    <t>Times earnings</t>
  </si>
  <si>
    <t>Sale price</t>
  </si>
  <si>
    <t>Total return</t>
  </si>
  <si>
    <t>IRR</t>
  </si>
  <si>
    <t>A.  Present value</t>
  </si>
  <si>
    <t xml:space="preserve">     of free cash flows</t>
  </si>
  <si>
    <t>B.  Present value of terminal value</t>
  </si>
  <si>
    <t>+</t>
  </si>
  <si>
    <t xml:space="preserve">  Increments for sensitivity</t>
  </si>
  <si>
    <t>=</t>
  </si>
  <si>
    <t>-</t>
  </si>
  <si>
    <r>
      <t>C.  Firm value</t>
    </r>
    <r>
      <rPr>
        <sz val="10"/>
        <rFont val="Arial"/>
        <family val="2"/>
      </rPr>
      <t xml:space="preserve"> (A + B)</t>
    </r>
  </si>
  <si>
    <t>D.  Net debt</t>
  </si>
  <si>
    <r>
      <t xml:space="preserve">E.  Equity value </t>
    </r>
    <r>
      <rPr>
        <sz val="8"/>
        <rFont val="Arial"/>
        <family val="2"/>
      </rPr>
      <t>(C - D)</t>
    </r>
  </si>
  <si>
    <t>Terminal value year</t>
  </si>
  <si>
    <t>TV by terminal FCF growth</t>
  </si>
  <si>
    <t>Necessary to finance</t>
  </si>
  <si>
    <t>Start date</t>
  </si>
  <si>
    <t>Founder's investment</t>
  </si>
  <si>
    <t>Funding required</t>
  </si>
  <si>
    <t>Change only cells with blue background</t>
  </si>
  <si>
    <t>Post-money valuation</t>
  </si>
  <si>
    <t>Make sure Calculation is set for Iteration</t>
  </si>
  <si>
    <t>The default numbers are not good proxies for your own numbers</t>
  </si>
  <si>
    <t>Check the comments in cells with comments for additional tips.</t>
  </si>
  <si>
    <t>Suggested discount rates by stage</t>
  </si>
  <si>
    <t>Seed stage</t>
  </si>
  <si>
    <t>Early stage</t>
  </si>
  <si>
    <t>Late stage with profits</t>
  </si>
  <si>
    <t>Bridge financing to cash out</t>
  </si>
  <si>
    <t>60-100%</t>
  </si>
  <si>
    <t>Proforma for Start-ups</t>
  </si>
  <si>
    <t>Include in the financial section of your business plan</t>
  </si>
  <si>
    <t>Business model</t>
  </si>
  <si>
    <t>Financial projections</t>
  </si>
  <si>
    <t xml:space="preserve">Valuation </t>
  </si>
  <si>
    <t>Funding required and equity offered</t>
  </si>
  <si>
    <t>Use of Proceeds</t>
  </si>
  <si>
    <t>Exit Strategy and ROI</t>
  </si>
  <si>
    <t xml:space="preserve"> - How will your business make money?  You should illustrate with a diagram.</t>
  </si>
  <si>
    <t>- 5 years of projected balance sheet, income statement and cash flow statements.</t>
  </si>
  <si>
    <t>- If you are lookiing for VC investment, you should be generating a minimum of $50MM in revenue within 5 years.</t>
  </si>
  <si>
    <t>- How much is your business worth today?</t>
  </si>
  <si>
    <t>- Valuation methods can include:  Discounted Cash Flow (DCF), comparables, or VC method</t>
  </si>
  <si>
    <t>- For seed stage companies, their valuation should generally be in the range of $2-4 MM.</t>
  </si>
  <si>
    <t xml:space="preserve">- How much money do you need to raise and how much equity will the investor receive?  </t>
  </si>
  <si>
    <t>- Equity offered in the seed stage should usually be in the range of 15-30%</t>
  </si>
  <si>
    <t>- How are you going to use the money you are raising?  Remember that you will need to use it to fuel growth in the company.</t>
  </si>
  <si>
    <t xml:space="preserve">- How will your investors make money and how much will they make?  </t>
  </si>
  <si>
    <t>- You should present the investor ROI as a multiple of the original investment</t>
  </si>
  <si>
    <t>- Remember that the investor IRR is an annual return.</t>
  </si>
  <si>
    <t>Dilution Schedule</t>
  </si>
  <si>
    <t>Seed investor equity</t>
  </si>
  <si>
    <t>Seed investor investment</t>
  </si>
  <si>
    <t>Total investment</t>
  </si>
  <si>
    <t>Founder equity</t>
  </si>
  <si>
    <t>Total equity</t>
  </si>
  <si>
    <t>Check valuation</t>
  </si>
  <si>
    <t>Times revenue</t>
  </si>
  <si>
    <t>Times previous round</t>
  </si>
  <si>
    <t>Non-diluted</t>
  </si>
  <si>
    <t>Seed investor fully diluted</t>
  </si>
  <si>
    <t>Seed investor non-diluted</t>
  </si>
  <si>
    <t>Seed investor equity - non-diluted</t>
  </si>
  <si>
    <t>Seed investor equity - fully diluted</t>
  </si>
  <si>
    <t>Seed investor's equity worth</t>
  </si>
  <si>
    <t>Investment - fully diluted</t>
  </si>
  <si>
    <t>Investment - non-diluted</t>
  </si>
  <si>
    <t>Revenue</t>
  </si>
  <si>
    <t>Previous round valuation</t>
  </si>
  <si>
    <t>NA</t>
  </si>
  <si>
    <t xml:space="preserve">- For first-round fund raising, you should generally be raising around $0.6MM to $1.5MM. </t>
  </si>
  <si>
    <t xml:space="preserve">- If you are raising less than $1MM, you will likely be seeking investment from Angel investors rather than from VCs. </t>
  </si>
  <si>
    <t xml:space="preserve">- This model uses a DCF valuation of your projected cash flows at an 80% discount rate.  </t>
  </si>
  <si>
    <t xml:space="preserve">- Make sure that you can explain your assumptions and how you arrived at your valuation. </t>
  </si>
  <si>
    <t>- Choose the most likely strategy for your company.</t>
  </si>
  <si>
    <t xml:space="preserve">- The most likely exit strategies are IPOs (sell to the public) and trade sale (sell to another company). </t>
  </si>
  <si>
    <t>Discounted Cash Flow Valuation Model for Start-up Companies - 100% equity financed</t>
  </si>
  <si>
    <t>Valuation</t>
  </si>
  <si>
    <t>Investor ROI</t>
  </si>
  <si>
    <t>Total return and IRR</t>
  </si>
  <si>
    <t>New equity issued</t>
  </si>
  <si>
    <t>Fully diluted</t>
  </si>
  <si>
    <t>Other investor(s) investment</t>
  </si>
  <si>
    <t>Other investor(s) equity</t>
  </si>
  <si>
    <t>FCF</t>
  </si>
  <si>
    <t>Cumulative FCF</t>
  </si>
  <si>
    <t>Years</t>
  </si>
  <si>
    <t>Post-money</t>
  </si>
  <si>
    <t>Year 2</t>
  </si>
  <si>
    <t>Year 3</t>
  </si>
  <si>
    <t>Year 1</t>
  </si>
  <si>
    <t>www.expara.com</t>
  </si>
  <si>
    <t>Manpower</t>
  </si>
  <si>
    <t>Total</t>
  </si>
  <si>
    <t>Revenues</t>
  </si>
  <si>
    <t>Free cash flow</t>
  </si>
  <si>
    <t>Net income</t>
  </si>
  <si>
    <t>Infrastructure</t>
  </si>
  <si>
    <t>Professional services</t>
  </si>
  <si>
    <t>Marketing and BizDev</t>
  </si>
  <si>
    <t>R&amp;D</t>
  </si>
  <si>
    <t>Gross margin</t>
  </si>
  <si>
    <t>Operating margin</t>
  </si>
  <si>
    <t>Net margin</t>
  </si>
  <si>
    <t>Comparables</t>
  </si>
  <si>
    <t>Tech</t>
  </si>
  <si>
    <t>Revenue breakdown</t>
  </si>
  <si>
    <t>Uses of funds</t>
  </si>
  <si>
    <t>Other COGS</t>
  </si>
  <si>
    <t>Other SG&amp;A</t>
  </si>
  <si>
    <t>Total SG&amp;A</t>
  </si>
  <si>
    <t>Total COGS</t>
  </si>
  <si>
    <t>Total CapEx</t>
  </si>
  <si>
    <t>SG&amp;A % of sales</t>
  </si>
  <si>
    <t>COGS % of sales</t>
  </si>
  <si>
    <t>CapEx % of sales</t>
  </si>
  <si>
    <t>CapEx % of incr sales</t>
  </si>
  <si>
    <t>Total costs % of sales</t>
  </si>
  <si>
    <t>Equity offered</t>
  </si>
  <si>
    <t>Projected sale price of company</t>
  </si>
  <si>
    <t>Exit multiple of earnings</t>
  </si>
  <si>
    <t>times earnings</t>
  </si>
  <si>
    <t>times investment</t>
  </si>
  <si>
    <t>$MM</t>
  </si>
  <si>
    <t>Exit valuation and ROI</t>
  </si>
  <si>
    <t>Total expenses</t>
  </si>
  <si>
    <t>Chart total</t>
  </si>
  <si>
    <t>Financial Projections</t>
  </si>
  <si>
    <t>Profitability at exit</t>
  </si>
  <si>
    <t xml:space="preserve">                                                            ---------------------   ---------------</t>
  </si>
  <si>
    <t>ASSETS</t>
  </si>
  <si>
    <t xml:space="preserve">     June 30, 2002</t>
  </si>
  <si>
    <t xml:space="preserve">Prepaid expenses and other current assets                                  </t>
  </si>
  <si>
    <t xml:space="preserve">Long-term investment securities-corporate                                       </t>
  </si>
  <si>
    <t xml:space="preserve">Fixed assets, net                                                          </t>
  </si>
  <si>
    <t xml:space="preserve">Goodwill and other intangibles, net                                            </t>
  </si>
  <si>
    <t xml:space="preserve">Other assets                                                                      </t>
  </si>
  <si>
    <t xml:space="preserve">Due to customers                                    </t>
  </si>
  <si>
    <t xml:space="preserve">Funds payable                                                                  </t>
  </si>
  <si>
    <t xml:space="preserve">Reserve for transaction losses                                                   </t>
  </si>
  <si>
    <t xml:space="preserve">Accounts payable and accrued liabilities                                      </t>
  </si>
  <si>
    <t xml:space="preserve">Current portion of capital leases and other liabilities                            </t>
  </si>
  <si>
    <t xml:space="preserve">Long-term portion of capital leases and other liabilities                         </t>
  </si>
  <si>
    <t xml:space="preserve">Total revenues                                                 </t>
  </si>
  <si>
    <t xml:space="preserve">Selling, general and administrative (1)                              </t>
  </si>
  <si>
    <t>Cash and Cash Equivalents (Total)</t>
  </si>
  <si>
    <t>Other Current Assets</t>
  </si>
  <si>
    <t>% of sales</t>
  </si>
  <si>
    <t xml:space="preserve">Total current assets                                                          </t>
  </si>
  <si>
    <t xml:space="preserve">Total assets                                       </t>
  </si>
  <si>
    <t xml:space="preserve">Total current liabilities                                                   </t>
  </si>
  <si>
    <t xml:space="preserve">Total liabilities                                                          </t>
  </si>
  <si>
    <t>Exit Valuation</t>
  </si>
  <si>
    <t>Required Funding</t>
  </si>
  <si>
    <t>Target multiple</t>
  </si>
  <si>
    <t>Total Valuation</t>
  </si>
  <si>
    <t>Partial Valuation</t>
  </si>
  <si>
    <t>Investment Recommendation</t>
  </si>
  <si>
    <t>Cost of Capital</t>
  </si>
  <si>
    <t>Probability of success</t>
  </si>
  <si>
    <t>Income Statement</t>
  </si>
  <si>
    <t>Cost of Goods Sold</t>
  </si>
  <si>
    <t>Expenses</t>
  </si>
  <si>
    <t>as % of sales</t>
  </si>
  <si>
    <t>Net Income</t>
  </si>
  <si>
    <t>Liabilities</t>
  </si>
  <si>
    <t>Accounts Receivable</t>
  </si>
  <si>
    <t>Total costs</t>
  </si>
  <si>
    <t>Cost as % of sales</t>
  </si>
  <si>
    <t>% difference from comparables</t>
  </si>
  <si>
    <t>Top Down Revenue forecast</t>
  </si>
  <si>
    <t xml:space="preserve">Total Addressable Market </t>
  </si>
  <si>
    <t>% growth</t>
  </si>
  <si>
    <t>Bottom Up Revenue Forecast</t>
  </si>
  <si>
    <t>% increase</t>
  </si>
  <si>
    <t>Total Revenue</t>
  </si>
  <si>
    <t>Interest Income</t>
  </si>
  <si>
    <t>Net Margin</t>
  </si>
  <si>
    <t>Gross Margin</t>
  </si>
  <si>
    <t>Operating Margin</t>
  </si>
  <si>
    <t>Revenue Stream 1</t>
  </si>
  <si>
    <t>price/unit</t>
  </si>
  <si>
    <t>number of units</t>
  </si>
  <si>
    <t>Revenue Stream 2</t>
  </si>
  <si>
    <t>Revenue Stream 3</t>
  </si>
  <si>
    <t>Target Segment (as % of target market)</t>
  </si>
  <si>
    <t>Target Segment Size</t>
  </si>
  <si>
    <t>Target Market (as % of total addressable market)</t>
  </si>
  <si>
    <t>Market Share in Target Segment</t>
  </si>
  <si>
    <t>change cells in blue background</t>
  </si>
  <si>
    <t>change cells in blue background only</t>
  </si>
  <si>
    <t>Cost Inputs</t>
  </si>
  <si>
    <t xml:space="preserve">   % increase</t>
  </si>
  <si>
    <t xml:space="preserve">   % product developers</t>
  </si>
  <si>
    <t xml:space="preserve">   % Cap Ex</t>
  </si>
  <si>
    <t xml:space="preserve">   PP&amp;E</t>
  </si>
  <si>
    <t xml:space="preserve">   Other expense</t>
  </si>
  <si>
    <t>P/E Ratio</t>
  </si>
  <si>
    <t>Depreciation Rate</t>
  </si>
  <si>
    <t>Other liabilities</t>
  </si>
  <si>
    <t>Company A</t>
  </si>
  <si>
    <t>Other Comparables</t>
  </si>
  <si>
    <t>S&amp;P</t>
  </si>
  <si>
    <t>Revenue Model</t>
  </si>
  <si>
    <t>Cost Model</t>
  </si>
  <si>
    <t>Expected Retention percentage</t>
  </si>
  <si>
    <t>Comparable Companies</t>
  </si>
  <si>
    <t>Difference between top-down and bottom-up forecast</t>
  </si>
  <si>
    <t>Bottom-up as percentage of top-down</t>
  </si>
  <si>
    <t xml:space="preserve">   COGS - manpower</t>
  </si>
  <si>
    <t xml:space="preserve">   Compensation - non production</t>
  </si>
  <si>
    <t>CapEx</t>
  </si>
  <si>
    <t>SG&amp;A</t>
  </si>
  <si>
    <t>COGS</t>
  </si>
  <si>
    <t>Growth rate of sales</t>
  </si>
  <si>
    <t>Incremental sales</t>
  </si>
  <si>
    <t>SG&amp;A as percent of sales</t>
  </si>
  <si>
    <t>COGS as percent of sales</t>
  </si>
  <si>
    <t>CapEx as percent of incr sales</t>
  </si>
  <si>
    <t>Input costs bottom up</t>
  </si>
  <si>
    <t>Input costs as a percentage of sales</t>
  </si>
  <si>
    <t>Total Costs</t>
  </si>
  <si>
    <t>Use percentage of sales (0) or bottom up (1) cost forecast</t>
  </si>
  <si>
    <t>Actual revenue</t>
  </si>
  <si>
    <t>Forecasted revenue</t>
  </si>
  <si>
    <t>Forecasted growth rates</t>
  </si>
  <si>
    <t>Revenue forecast error</t>
  </si>
  <si>
    <t>Round 1 valuation</t>
  </si>
  <si>
    <t>Use actual valuation</t>
  </si>
  <si>
    <t>Add Actual sheet into model</t>
  </si>
  <si>
    <t>Add actual revenue table on revenue sheet A57</t>
  </si>
  <si>
    <t>Change formula in row 36 to reference switch 3</t>
  </si>
  <si>
    <t>Copy value of valuation from valuation sheet to actual sheet</t>
  </si>
  <si>
    <t>Change first round val formula in investor roi and dilution sheet to ref valuation on actual sheet</t>
  </si>
  <si>
    <t>Run solver to zero out necessary to finance</t>
  </si>
  <si>
    <t>If bottom up costs are used instead of % of sales, set % of sales to % implied by bottom up</t>
  </si>
  <si>
    <t>Copy value of actual revenue into actual rev table</t>
  </si>
  <si>
    <t>Adjusting existing models for actual</t>
  </si>
  <si>
    <t>Standard VC Method - Linked to DCF</t>
  </si>
  <si>
    <t>Standard VC Method Recommendation</t>
  </si>
  <si>
    <t>Year 3 earnings</t>
  </si>
  <si>
    <t>Exit multiple</t>
  </si>
  <si>
    <t>Exit valuation</t>
  </si>
  <si>
    <t>Standard VC Method - Not linked to DCF</t>
  </si>
  <si>
    <t>Venture-backed liquidity events</t>
  </si>
  <si>
    <t>M&amp;A</t>
  </si>
  <si>
    <t>Deals with</t>
  </si>
  <si>
    <t>disclosed value</t>
  </si>
  <si>
    <t>Avg deal size</t>
  </si>
  <si>
    <t>IPO</t>
  </si>
  <si>
    <t>Number</t>
  </si>
  <si>
    <t>Avg amount</t>
  </si>
  <si>
    <t>2009 through Q3</t>
  </si>
  <si>
    <t>Average</t>
  </si>
  <si>
    <t>Source: Thomson Reuters &amp; National Venture Capital Association - 1-Oct 2009</t>
  </si>
  <si>
    <t>ACQ</t>
  </si>
  <si>
    <t>&lt;0.25</t>
  </si>
  <si>
    <t>0.25 to 0.5</t>
  </si>
  <si>
    <t>0.5 to 1</t>
  </si>
  <si>
    <t>1 to 1.5</t>
  </si>
  <si>
    <t>1.5 to 2</t>
  </si>
  <si>
    <t>2 to 3</t>
  </si>
  <si>
    <t>3 to 5</t>
  </si>
  <si>
    <t>5 to 10</t>
  </si>
  <si>
    <t>10 to 20</t>
  </si>
  <si>
    <t>20 to 50</t>
  </si>
  <si>
    <t>50 to 100</t>
  </si>
  <si>
    <t>&gt;100</t>
  </si>
  <si>
    <t>Source: Venture Capital and the Finance of Innovation - Andrew Metrick</t>
  </si>
  <si>
    <t>Percentage</t>
  </si>
  <si>
    <t>0 to 0.25</t>
  </si>
  <si>
    <t>Value Multiple - All 1st round investments</t>
  </si>
  <si>
    <t>Value Multiple - 1st round investments with exits</t>
  </si>
  <si>
    <t>1 time or less</t>
  </si>
  <si>
    <t>1 to 5 times</t>
  </si>
  <si>
    <t>5 to 20 times</t>
  </si>
  <si>
    <t>&gt; 20 times</t>
  </si>
  <si>
    <t>Losses</t>
  </si>
  <si>
    <t>Use top down (0) or bottom up (1) revenue forecast, otherwise Actual is applied.</t>
  </si>
  <si>
    <t>Head Count</t>
  </si>
  <si>
    <t>Number of Employees</t>
  </si>
  <si>
    <t>Salary per month</t>
  </si>
  <si>
    <t>Monthly salary based on number of years worked</t>
  </si>
  <si>
    <t>Yearly Cost</t>
  </si>
  <si>
    <t>Year I</t>
  </si>
  <si>
    <t>Year II</t>
  </si>
  <si>
    <t>Year III</t>
  </si>
  <si>
    <t>Year IV</t>
  </si>
  <si>
    <t>Year V</t>
  </si>
  <si>
    <t>CEO</t>
  </si>
  <si>
    <t>CTO</t>
  </si>
  <si>
    <t>Business Development Director</t>
  </si>
  <si>
    <t>Marketing Executive</t>
  </si>
  <si>
    <t>Senior Technical Engineer</t>
  </si>
  <si>
    <t>Technical Engineer</t>
  </si>
  <si>
    <t>Admin/HR</t>
  </si>
  <si>
    <t>Finance Executive</t>
  </si>
  <si>
    <t>Total:</t>
  </si>
  <si>
    <t>Manpower Increase</t>
  </si>
  <si>
    <t>Use of Funds</t>
  </si>
  <si>
    <t>Technical</t>
  </si>
  <si>
    <t>CPF</t>
  </si>
  <si>
    <t>of base salary</t>
  </si>
  <si>
    <t>Business</t>
  </si>
  <si>
    <t>Insurance + benefits</t>
  </si>
  <si>
    <t>Training</t>
  </si>
  <si>
    <t>AWS + Bonus</t>
  </si>
  <si>
    <t>x month base salary</t>
  </si>
  <si>
    <t>Annual increment</t>
  </si>
  <si>
    <t>for junior staff</t>
  </si>
  <si>
    <t>for management/senior staff</t>
  </si>
  <si>
    <t>Months</t>
  </si>
  <si>
    <t>Management</t>
  </si>
  <si>
    <t>Printers</t>
  </si>
  <si>
    <t>Projectors</t>
  </si>
  <si>
    <t>Filling cabinet</t>
  </si>
  <si>
    <t>Phone- management</t>
  </si>
  <si>
    <t>Phone-admin staff/General</t>
  </si>
  <si>
    <t>Estimated Expenses</t>
  </si>
  <si>
    <t>Operating Expenses</t>
  </si>
  <si>
    <t>PP&amp;E</t>
  </si>
  <si>
    <t>Computer/Electronics</t>
  </si>
  <si>
    <t>Laptop</t>
  </si>
  <si>
    <t>Printer</t>
  </si>
  <si>
    <t>Projector</t>
  </si>
  <si>
    <t>Furniture &amp; fittings</t>
  </si>
  <si>
    <t>Office desk</t>
  </si>
  <si>
    <t>Office chair</t>
  </si>
  <si>
    <t>Phone</t>
  </si>
  <si>
    <t>Equipment &amp; tools</t>
  </si>
  <si>
    <t>Server</t>
  </si>
  <si>
    <t>Lab furniture &amp; fittings</t>
  </si>
  <si>
    <t>Work bench</t>
  </si>
  <si>
    <t>Lab chair</t>
  </si>
  <si>
    <t>Other expense</t>
  </si>
  <si>
    <t>Renovation</t>
  </si>
  <si>
    <t>Legal Fee</t>
  </si>
  <si>
    <t>Patent application fee</t>
  </si>
  <si>
    <t>Patent maintenance fee</t>
  </si>
  <si>
    <t>Accounting &amp; audit fee</t>
  </si>
  <si>
    <t>Consulting</t>
  </si>
  <si>
    <t>Insurance</t>
  </si>
  <si>
    <t>Regulatory application</t>
  </si>
  <si>
    <t>Sales &amp; marketing expenses</t>
  </si>
  <si>
    <t>Partnership Development</t>
  </si>
  <si>
    <t>General</t>
  </si>
  <si>
    <t>Advertising</t>
  </si>
  <si>
    <t>Tradeshow</t>
  </si>
  <si>
    <t>Print</t>
  </si>
  <si>
    <t>Online</t>
  </si>
  <si>
    <t>Banner add/website</t>
  </si>
  <si>
    <t>Office utilities</t>
  </si>
  <si>
    <t>Lab utilities</t>
  </si>
  <si>
    <t>Office rental</t>
  </si>
  <si>
    <t>Lab rental</t>
  </si>
  <si>
    <t>Equipment maintenance</t>
  </si>
  <si>
    <t>Printing/stationery</t>
  </si>
  <si>
    <t>Postage</t>
  </si>
  <si>
    <t>Internet/telephone/fax</t>
  </si>
  <si>
    <t>Local transport</t>
  </si>
  <si>
    <t>Software license</t>
  </si>
  <si>
    <t>Upfront licensing fee</t>
  </si>
  <si>
    <t>Miscellaneous</t>
  </si>
  <si>
    <t>HAS regulatory fee</t>
  </si>
  <si>
    <t>Royalty fee</t>
  </si>
  <si>
    <t>Credit card &amp; payment processing fee</t>
  </si>
  <si>
    <t>Total cost</t>
  </si>
  <si>
    <t>Unit Cost/month/unit</t>
  </si>
  <si>
    <t>United States</t>
  </si>
  <si>
    <t>Europe</t>
  </si>
  <si>
    <t>Australia/New Zealand</t>
  </si>
  <si>
    <t>Japan</t>
  </si>
  <si>
    <t>India</t>
  </si>
  <si>
    <t>Singapore</t>
  </si>
  <si>
    <t>Social media marketing</t>
  </si>
  <si>
    <t>Inflation rate</t>
  </si>
  <si>
    <t>% of Total Expenses</t>
  </si>
  <si>
    <t>% of sub-Expenses</t>
  </si>
  <si>
    <t>Unit Cost/year/unit</t>
  </si>
  <si>
    <t>Power Factor</t>
  </si>
  <si>
    <t>Addition of PPE based on manpower</t>
  </si>
  <si>
    <t>Estimated Expenses - first 24 months</t>
  </si>
  <si>
    <t>Social Media Marketing</t>
  </si>
  <si>
    <t>check</t>
  </si>
  <si>
    <t>Net PPE</t>
  </si>
  <si>
    <t xml:space="preserve">     At cost (computer/electronics)</t>
  </si>
  <si>
    <t xml:space="preserve">     At cost (furniture &amp; fittings)</t>
  </si>
  <si>
    <t xml:space="preserve">     At cost (equipment &amp; tools)</t>
  </si>
  <si>
    <t>Cash Flow Budget</t>
  </si>
  <si>
    <t>Beginning Cash Balance</t>
  </si>
  <si>
    <t>Funding Received</t>
  </si>
  <si>
    <t>Cash Inflows (Income):</t>
  </si>
  <si>
    <t>Accounts receivable collections</t>
  </si>
  <si>
    <t>Sales &amp; receipts</t>
  </si>
  <si>
    <t>Total Cash Inflows</t>
  </si>
  <si>
    <t>Avaliable Cash Balance</t>
  </si>
  <si>
    <t>Cash Outflows (Expenses):</t>
  </si>
  <si>
    <t>Payroll</t>
  </si>
  <si>
    <t>Marketing expenses</t>
  </si>
  <si>
    <t>R&amp;D expenses</t>
  </si>
  <si>
    <t>Rental</t>
  </si>
  <si>
    <t>Utilities &amp; comms expenses</t>
  </si>
  <si>
    <t>Subtotal</t>
  </si>
  <si>
    <t>Other Cash Outflows:</t>
  </si>
  <si>
    <t>Capital purchases</t>
  </si>
  <si>
    <t>Total Cash Outflows</t>
  </si>
  <si>
    <t>Ending Cash Balance</t>
  </si>
  <si>
    <t>% sales &amp; receipts</t>
  </si>
  <si>
    <t>% accounts receivable collections</t>
  </si>
  <si>
    <t>Done</t>
  </si>
  <si>
    <t>Version 12</t>
  </si>
  <si>
    <t>Copyright © 2006-2013 Douglas Abrams</t>
  </si>
  <si>
    <t xml:space="preserve">- Investor ROI should be at least 10-30 times over 5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</si>
</sst>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%;[Red]\(0.00%\)"/>
    <numFmt numFmtId="168" formatCode="#,##0.0_);[Red]\(#,##0.0\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[$-409]d\-mmm\-yy;@"/>
    <numFmt numFmtId="173" formatCode="&quot;$&quot;#,##0"/>
    <numFmt numFmtId="174" formatCode=";;;"/>
    <numFmt numFmtId="175" formatCode="[$-409]mmm\-yy;@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5" tint="-0.499984740745262"/>
      <name val="Arial"/>
      <family val="2"/>
    </font>
    <font>
      <i/>
      <sz val="9"/>
      <color theme="5"/>
      <name val="Arial"/>
      <family val="2"/>
    </font>
    <font>
      <sz val="9"/>
      <color theme="0"/>
      <name val="Arial"/>
      <family val="2"/>
    </font>
    <font>
      <i/>
      <sz val="9"/>
      <color theme="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0" fontId="7" fillId="0" borderId="0" applyFont="0" applyFill="0" applyBorder="0" applyAlignment="0"/>
    <xf numFmtId="0" fontId="9" fillId="0" borderId="0"/>
    <xf numFmtId="0" fontId="1" fillId="0" borderId="0"/>
    <xf numFmtId="0" fontId="1" fillId="0" borderId="0"/>
    <xf numFmtId="168" fontId="1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8">
    <xf numFmtId="0" fontId="0" fillId="0" borderId="0" xfId="0"/>
    <xf numFmtId="38" fontId="2" fillId="0" borderId="0" xfId="0" applyNumberFormat="1" applyFont="1"/>
    <xf numFmtId="38" fontId="0" fillId="0" borderId="0" xfId="0" applyNumberFormat="1"/>
    <xf numFmtId="38" fontId="1" fillId="0" borderId="0" xfId="0" applyNumberFormat="1" applyFont="1"/>
    <xf numFmtId="17" fontId="3" fillId="0" borderId="0" xfId="0" applyNumberFormat="1" applyFont="1"/>
    <xf numFmtId="38" fontId="4" fillId="0" borderId="0" xfId="0" applyNumberFormat="1" applyFont="1"/>
    <xf numFmtId="38" fontId="5" fillId="0" borderId="0" xfId="0" applyNumberFormat="1" applyFont="1"/>
    <xf numFmtId="166" fontId="0" fillId="0" borderId="0" xfId="1" applyNumberFormat="1" applyFont="1"/>
    <xf numFmtId="166" fontId="0" fillId="0" borderId="0" xfId="0" applyNumberFormat="1"/>
    <xf numFmtId="0" fontId="0" fillId="0" borderId="0" xfId="0" applyBorder="1" applyAlignment="1">
      <alignment horizontal="centerContinuous"/>
    </xf>
    <xf numFmtId="0" fontId="6" fillId="0" borderId="1" xfId="0" applyFont="1" applyBorder="1" applyAlignment="1">
      <alignment horizontal="center"/>
    </xf>
    <xf numFmtId="0" fontId="0" fillId="0" borderId="0" xfId="0" applyBorder="1"/>
    <xf numFmtId="40" fontId="8" fillId="0" borderId="0" xfId="8" applyFont="1" applyBorder="1" applyAlignment="1">
      <alignment horizontal="right"/>
    </xf>
    <xf numFmtId="167" fontId="6" fillId="0" borderId="0" xfId="16" applyFont="1" applyBorder="1" applyAlignment="1">
      <alignment horizontal="center"/>
    </xf>
    <xf numFmtId="17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9" fillId="0" borderId="0" xfId="0" applyFont="1" applyFill="1"/>
    <xf numFmtId="17" fontId="9" fillId="0" borderId="0" xfId="0" applyNumberFormat="1" applyFont="1" applyFill="1"/>
    <xf numFmtId="38" fontId="3" fillId="0" borderId="0" xfId="0" applyNumberFormat="1" applyFont="1" applyFill="1"/>
    <xf numFmtId="38" fontId="9" fillId="0" borderId="0" xfId="0" applyNumberFormat="1" applyFont="1" applyFill="1"/>
    <xf numFmtId="9" fontId="9" fillId="0" borderId="0" xfId="15" applyFont="1" applyFill="1"/>
    <xf numFmtId="166" fontId="9" fillId="0" borderId="0" xfId="1" applyNumberFormat="1" applyFont="1" applyFill="1"/>
    <xf numFmtId="0" fontId="10" fillId="0" borderId="0" xfId="12" quotePrefix="1" applyNumberFormat="1" applyBorder="1" applyAlignment="1">
      <alignment horizontal="left"/>
    </xf>
    <xf numFmtId="0" fontId="0" fillId="0" borderId="1" xfId="0" applyBorder="1"/>
    <xf numFmtId="0" fontId="0" fillId="0" borderId="0" xfId="0" applyFont="1" applyFill="1" applyBorder="1" applyAlignment="1"/>
    <xf numFmtId="167" fontId="0" fillId="0" borderId="0" xfId="16" applyFont="1" applyFill="1" applyBorder="1" applyAlignment="1"/>
    <xf numFmtId="0" fontId="0" fillId="0" borderId="0" xfId="0" quotePrefix="1" applyBorder="1" applyAlignment="1">
      <alignment horizontal="centerContinuous"/>
    </xf>
    <xf numFmtId="0" fontId="0" fillId="0" borderId="0" xfId="0" applyBorder="1" applyAlignment="1">
      <alignment horizontal="right"/>
    </xf>
    <xf numFmtId="167" fontId="11" fillId="0" borderId="0" xfId="16" applyFont="1" applyBorder="1" applyAlignment="1">
      <alignment horizontal="center"/>
    </xf>
    <xf numFmtId="168" fontId="10" fillId="0" borderId="0" xfId="12" quotePrefix="1" applyFont="1" applyBorder="1" applyAlignment="1">
      <alignment horizontal="left"/>
    </xf>
    <xf numFmtId="0" fontId="9" fillId="0" borderId="0" xfId="0" applyFont="1" applyAlignment="1">
      <alignment horizontal="center"/>
    </xf>
    <xf numFmtId="9" fontId="6" fillId="0" borderId="1" xfId="0" applyNumberFormat="1" applyFont="1" applyBorder="1" applyAlignment="1">
      <alignment horizontal="right"/>
    </xf>
    <xf numFmtId="168" fontId="9" fillId="0" borderId="0" xfId="12" quotePrefix="1" applyNumberFormat="1" applyFont="1" applyBorder="1" applyAlignment="1">
      <alignment horizontal="center"/>
    </xf>
    <xf numFmtId="0" fontId="12" fillId="0" borderId="0" xfId="0" quotePrefix="1" applyFont="1" applyAlignment="1">
      <alignment horizontal="left"/>
    </xf>
    <xf numFmtId="9" fontId="6" fillId="0" borderId="1" xfId="15" applyFont="1" applyBorder="1" applyAlignment="1">
      <alignment horizontal="right"/>
    </xf>
    <xf numFmtId="0" fontId="13" fillId="0" borderId="0" xfId="12" quotePrefix="1" applyNumberFormat="1" applyFont="1" applyBorder="1" applyAlignment="1">
      <alignment horizontal="center"/>
    </xf>
    <xf numFmtId="168" fontId="12" fillId="0" borderId="0" xfId="12" quotePrefix="1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2" xfId="0" applyBorder="1"/>
    <xf numFmtId="168" fontId="10" fillId="0" borderId="0" xfId="12" quotePrefix="1" applyFont="1" applyAlignment="1">
      <alignment horizontal="center"/>
    </xf>
    <xf numFmtId="166" fontId="0" fillId="0" borderId="0" xfId="1" applyNumberFormat="1" applyFont="1" applyBorder="1"/>
    <xf numFmtId="0" fontId="7" fillId="0" borderId="0" xfId="0" quotePrefix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4" fontId="0" fillId="0" borderId="0" xfId="0" applyNumberFormat="1"/>
    <xf numFmtId="169" fontId="0" fillId="0" borderId="0" xfId="15" applyNumberFormat="1" applyFont="1"/>
    <xf numFmtId="2" fontId="0" fillId="0" borderId="0" xfId="0" applyNumberFormat="1"/>
    <xf numFmtId="9" fontId="3" fillId="2" borderId="0" xfId="15" applyFont="1" applyFill="1"/>
    <xf numFmtId="9" fontId="14" fillId="0" borderId="0" xfId="15" applyFont="1" applyFill="1"/>
    <xf numFmtId="0" fontId="3" fillId="2" borderId="0" xfId="0" applyFont="1" applyFill="1"/>
    <xf numFmtId="171" fontId="3" fillId="2" borderId="0" xfId="4" applyNumberFormat="1" applyFont="1" applyFill="1"/>
    <xf numFmtId="166" fontId="9" fillId="0" borderId="0" xfId="1" applyNumberFormat="1" applyFont="1"/>
    <xf numFmtId="165" fontId="3" fillId="2" borderId="0" xfId="1" applyNumberFormat="1" applyFont="1" applyFill="1"/>
    <xf numFmtId="166" fontId="3" fillId="2" borderId="0" xfId="1" applyNumberFormat="1" applyFont="1" applyFill="1"/>
    <xf numFmtId="10" fontId="3" fillId="2" borderId="0" xfId="15" applyNumberFormat="1" applyFont="1" applyFill="1"/>
    <xf numFmtId="0" fontId="3" fillId="0" borderId="1" xfId="0" applyFont="1" applyBorder="1"/>
    <xf numFmtId="17" fontId="14" fillId="0" borderId="0" xfId="0" applyNumberFormat="1" applyFont="1" applyBorder="1"/>
    <xf numFmtId="38" fontId="0" fillId="0" borderId="0" xfId="0" applyNumberFormat="1" applyBorder="1"/>
    <xf numFmtId="0" fontId="14" fillId="0" borderId="0" xfId="0" applyFont="1" applyFill="1"/>
    <xf numFmtId="0" fontId="0" fillId="0" borderId="0" xfId="0" quotePrefix="1" applyAlignment="1">
      <alignment horizontal="right"/>
    </xf>
    <xf numFmtId="0" fontId="0" fillId="0" borderId="0" xfId="0" applyNumberFormat="1"/>
    <xf numFmtId="0" fontId="0" fillId="0" borderId="0" xfId="0" quotePrefix="1"/>
    <xf numFmtId="0" fontId="0" fillId="0" borderId="0" xfId="0" quotePrefix="1" applyNumberFormat="1"/>
    <xf numFmtId="9" fontId="0" fillId="0" borderId="0" xfId="15" applyFont="1"/>
    <xf numFmtId="3" fontId="9" fillId="0" borderId="0" xfId="0" applyNumberFormat="1" applyFont="1" applyBorder="1"/>
    <xf numFmtId="1" fontId="0" fillId="0" borderId="0" xfId="0" applyNumberFormat="1" applyAlignment="1">
      <alignment horizontal="right"/>
    </xf>
    <xf numFmtId="0" fontId="18" fillId="2" borderId="0" xfId="0" applyFont="1" applyFill="1"/>
    <xf numFmtId="0" fontId="0" fillId="2" borderId="0" xfId="0" applyFill="1"/>
    <xf numFmtId="0" fontId="0" fillId="2" borderId="3" xfId="0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14" fillId="2" borderId="3" xfId="0" applyFont="1" applyFill="1" applyBorder="1"/>
    <xf numFmtId="0" fontId="14" fillId="3" borderId="0" xfId="0" applyFont="1" applyFill="1" applyAlignment="1">
      <alignment horizontal="right"/>
    </xf>
    <xf numFmtId="0" fontId="9" fillId="3" borderId="3" xfId="0" applyFont="1" applyFill="1" applyBorder="1"/>
    <xf numFmtId="17" fontId="3" fillId="3" borderId="3" xfId="0" applyNumberFormat="1" applyFont="1" applyFill="1" applyBorder="1"/>
    <xf numFmtId="0" fontId="4" fillId="3" borderId="0" xfId="0" applyFont="1" applyFill="1"/>
    <xf numFmtId="0" fontId="3" fillId="0" borderId="3" xfId="0" applyFont="1" applyFill="1" applyBorder="1"/>
    <xf numFmtId="172" fontId="3" fillId="2" borderId="3" xfId="0" applyNumberFormat="1" applyFont="1" applyFill="1" applyBorder="1"/>
    <xf numFmtId="17" fontId="9" fillId="0" borderId="3" xfId="0" applyNumberFormat="1" applyFont="1" applyFill="1" applyBorder="1"/>
    <xf numFmtId="38" fontId="3" fillId="0" borderId="4" xfId="0" applyNumberFormat="1" applyFont="1" applyFill="1" applyBorder="1"/>
    <xf numFmtId="38" fontId="9" fillId="0" borderId="4" xfId="0" applyNumberFormat="1" applyFont="1" applyFill="1" applyBorder="1"/>
    <xf numFmtId="0" fontId="9" fillId="0" borderId="4" xfId="0" applyFont="1" applyFill="1" applyBorder="1"/>
    <xf numFmtId="38" fontId="3" fillId="0" borderId="1" xfId="0" applyNumberFormat="1" applyFont="1" applyFill="1" applyBorder="1"/>
    <xf numFmtId="0" fontId="9" fillId="0" borderId="1" xfId="0" applyFont="1" applyFill="1" applyBorder="1"/>
    <xf numFmtId="38" fontId="3" fillId="0" borderId="5" xfId="0" applyNumberFormat="1" applyFont="1" applyFill="1" applyBorder="1"/>
    <xf numFmtId="38" fontId="9" fillId="0" borderId="5" xfId="0" applyNumberFormat="1" applyFont="1" applyFill="1" applyBorder="1"/>
    <xf numFmtId="0" fontId="9" fillId="0" borderId="5" xfId="0" applyFont="1" applyFill="1" applyBorder="1"/>
    <xf numFmtId="0" fontId="3" fillId="0" borderId="1" xfId="0" applyFont="1" applyFill="1" applyBorder="1"/>
    <xf numFmtId="166" fontId="3" fillId="2" borderId="1" xfId="1" applyNumberFormat="1" applyFont="1" applyFill="1" applyBorder="1"/>
    <xf numFmtId="0" fontId="4" fillId="3" borderId="3" xfId="0" applyFont="1" applyFill="1" applyBorder="1"/>
    <xf numFmtId="38" fontId="4" fillId="0" borderId="6" xfId="0" applyNumberFormat="1" applyFont="1" applyBorder="1"/>
    <xf numFmtId="17" fontId="3" fillId="0" borderId="6" xfId="0" applyNumberFormat="1" applyFont="1" applyBorder="1"/>
    <xf numFmtId="38" fontId="2" fillId="0" borderId="5" xfId="0" applyNumberFormat="1" applyFont="1" applyBorder="1"/>
    <xf numFmtId="38" fontId="0" fillId="0" borderId="5" xfId="0" applyNumberFormat="1" applyBorder="1"/>
    <xf numFmtId="0" fontId="0" fillId="0" borderId="5" xfId="0" applyBorder="1"/>
    <xf numFmtId="166" fontId="0" fillId="0" borderId="5" xfId="0" applyNumberFormat="1" applyBorder="1"/>
    <xf numFmtId="166" fontId="0" fillId="0" borderId="1" xfId="0" applyNumberFormat="1" applyBorder="1"/>
    <xf numFmtId="9" fontId="0" fillId="0" borderId="1" xfId="0" applyNumberFormat="1" applyBorder="1"/>
    <xf numFmtId="0" fontId="14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Fill="1"/>
    <xf numFmtId="9" fontId="0" fillId="0" borderId="0" xfId="15" applyFont="1" applyFill="1"/>
    <xf numFmtId="9" fontId="0" fillId="0" borderId="0" xfId="0" applyNumberFormat="1" applyFill="1"/>
    <xf numFmtId="0" fontId="3" fillId="4" borderId="1" xfId="0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3" fillId="0" borderId="0" xfId="0" applyFont="1"/>
    <xf numFmtId="171" fontId="9" fillId="0" borderId="0" xfId="4" applyNumberFormat="1" applyFont="1" applyFill="1"/>
    <xf numFmtId="0" fontId="0" fillId="0" borderId="3" xfId="0" applyBorder="1"/>
    <xf numFmtId="0" fontId="9" fillId="0" borderId="0" xfId="0" applyFont="1"/>
    <xf numFmtId="38" fontId="4" fillId="0" borderId="6" xfId="0" applyNumberFormat="1" applyFont="1" applyBorder="1" applyAlignment="1">
      <alignment horizontal="center"/>
    </xf>
    <xf numFmtId="171" fontId="0" fillId="0" borderId="0" xfId="4" applyNumberFormat="1" applyFont="1"/>
    <xf numFmtId="9" fontId="0" fillId="0" borderId="0" xfId="15" applyNumberFormat="1" applyFont="1" applyFill="1"/>
    <xf numFmtId="0" fontId="0" fillId="0" borderId="3" xfId="0" applyFill="1" applyBorder="1"/>
    <xf numFmtId="0" fontId="15" fillId="2" borderId="3" xfId="7" applyFill="1" applyBorder="1" applyAlignment="1" applyProtection="1"/>
    <xf numFmtId="0" fontId="1" fillId="0" borderId="0" xfId="13" applyNumberFormat="1" applyFont="1" applyFill="1" applyBorder="1" applyAlignment="1"/>
    <xf numFmtId="0" fontId="19" fillId="0" borderId="0" xfId="13" applyNumberFormat="1" applyFont="1" applyFill="1" applyBorder="1" applyAlignment="1">
      <alignment wrapText="1"/>
    </xf>
    <xf numFmtId="0" fontId="20" fillId="0" borderId="0" xfId="13" applyNumberFormat="1" applyFont="1" applyFill="1" applyBorder="1" applyAlignment="1">
      <alignment wrapText="1"/>
    </xf>
    <xf numFmtId="173" fontId="20" fillId="0" borderId="0" xfId="13" applyNumberFormat="1" applyFont="1" applyFill="1" applyBorder="1" applyAlignment="1">
      <alignment wrapText="1"/>
    </xf>
    <xf numFmtId="173" fontId="19" fillId="0" borderId="0" xfId="13" applyNumberFormat="1" applyFont="1" applyFill="1" applyBorder="1" applyAlignment="1">
      <alignment wrapText="1"/>
    </xf>
    <xf numFmtId="9" fontId="20" fillId="0" borderId="0" xfId="15" applyFont="1" applyFill="1" applyBorder="1" applyAlignment="1">
      <alignment wrapText="1"/>
    </xf>
    <xf numFmtId="171" fontId="20" fillId="0" borderId="0" xfId="4" applyNumberFormat="1" applyFont="1" applyFill="1" applyBorder="1" applyAlignment="1">
      <alignment wrapText="1"/>
    </xf>
    <xf numFmtId="0" fontId="20" fillId="0" borderId="0" xfId="13" applyNumberFormat="1" applyFont="1" applyFill="1" applyBorder="1" applyAlignment="1"/>
    <xf numFmtId="38" fontId="22" fillId="0" borderId="0" xfId="0" applyNumberFormat="1" applyFont="1" applyBorder="1" applyAlignment="1">
      <alignment wrapText="1"/>
    </xf>
    <xf numFmtId="38" fontId="22" fillId="0" borderId="0" xfId="0" applyNumberFormat="1" applyFont="1" applyBorder="1"/>
    <xf numFmtId="17" fontId="23" fillId="0" borderId="0" xfId="0" applyNumberFormat="1" applyFont="1" applyFill="1"/>
    <xf numFmtId="0" fontId="19" fillId="0" borderId="0" xfId="13" applyNumberFormat="1" applyFont="1" applyFill="1" applyBorder="1" applyAlignment="1"/>
    <xf numFmtId="10" fontId="20" fillId="0" borderId="0" xfId="13" applyNumberFormat="1" applyFont="1" applyFill="1" applyBorder="1" applyAlignment="1">
      <alignment wrapText="1"/>
    </xf>
    <xf numFmtId="38" fontId="22" fillId="0" borderId="0" xfId="0" applyNumberFormat="1" applyFont="1" applyFill="1" applyBorder="1" applyAlignment="1">
      <alignment wrapText="1"/>
    </xf>
    <xf numFmtId="174" fontId="2" fillId="0" borderId="0" xfId="0" applyNumberFormat="1" applyFont="1" applyBorder="1"/>
    <xf numFmtId="174" fontId="0" fillId="0" borderId="0" xfId="0" applyNumberFormat="1" applyBorder="1"/>
    <xf numFmtId="0" fontId="21" fillId="0" borderId="0" xfId="13" applyNumberFormat="1" applyFont="1" applyFill="1" applyBorder="1" applyAlignment="1">
      <alignment wrapText="1"/>
    </xf>
    <xf numFmtId="170" fontId="0" fillId="0" borderId="0" xfId="4" applyNumberFormat="1" applyFont="1"/>
    <xf numFmtId="1" fontId="0" fillId="0" borderId="0" xfId="0" applyNumberFormat="1"/>
    <xf numFmtId="44" fontId="3" fillId="0" borderId="0" xfId="4" applyFont="1"/>
    <xf numFmtId="0" fontId="3" fillId="0" borderId="7" xfId="0" applyFont="1" applyBorder="1"/>
    <xf numFmtId="171" fontId="3" fillId="0" borderId="7" xfId="4" applyNumberFormat="1" applyFont="1" applyBorder="1"/>
    <xf numFmtId="38" fontId="1" fillId="0" borderId="2" xfId="0" applyNumberFormat="1" applyFont="1" applyBorder="1" applyAlignment="1">
      <alignment wrapText="1"/>
    </xf>
    <xf numFmtId="38" fontId="1" fillId="0" borderId="0" xfId="0" applyNumberFormat="1" applyFont="1" applyBorder="1" applyAlignment="1">
      <alignment wrapText="1"/>
    </xf>
    <xf numFmtId="171" fontId="1" fillId="0" borderId="2" xfId="4" applyNumberFormat="1" applyFont="1" applyBorder="1"/>
    <xf numFmtId="171" fontId="1" fillId="0" borderId="0" xfId="4" applyNumberFormat="1" applyFont="1" applyBorder="1" applyAlignment="1">
      <alignment wrapText="1"/>
    </xf>
    <xf numFmtId="0" fontId="3" fillId="0" borderId="0" xfId="0" applyFont="1" applyFill="1" applyBorder="1"/>
    <xf numFmtId="38" fontId="3" fillId="0" borderId="0" xfId="0" quotePrefix="1" applyNumberFormat="1" applyFont="1"/>
    <xf numFmtId="9" fontId="3" fillId="5" borderId="0" xfId="0" applyNumberFormat="1" applyFont="1" applyFill="1"/>
    <xf numFmtId="0" fontId="9" fillId="0" borderId="8" xfId="0" applyFont="1" applyFill="1" applyBorder="1"/>
    <xf numFmtId="17" fontId="9" fillId="0" borderId="8" xfId="0" applyNumberFormat="1" applyFont="1" applyFill="1" applyBorder="1"/>
    <xf numFmtId="9" fontId="3" fillId="0" borderId="8" xfId="15" applyFont="1" applyFill="1" applyBorder="1"/>
    <xf numFmtId="0" fontId="3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7" fontId="3" fillId="0" borderId="9" xfId="0" applyNumberFormat="1" applyFont="1" applyFill="1" applyBorder="1" applyAlignment="1">
      <alignment horizontal="center"/>
    </xf>
    <xf numFmtId="38" fontId="9" fillId="0" borderId="9" xfId="0" applyNumberFormat="1" applyFont="1" applyFill="1" applyBorder="1" applyAlignment="1">
      <alignment horizontal="center"/>
    </xf>
    <xf numFmtId="9" fontId="3" fillId="0" borderId="9" xfId="15" applyNumberFormat="1" applyFont="1" applyFill="1" applyBorder="1" applyAlignment="1">
      <alignment horizontal="center"/>
    </xf>
    <xf numFmtId="9" fontId="3" fillId="0" borderId="9" xfId="0" applyNumberFormat="1" applyFont="1" applyFill="1" applyBorder="1" applyAlignment="1">
      <alignment horizontal="center"/>
    </xf>
    <xf numFmtId="9" fontId="3" fillId="0" borderId="9" xfId="15" applyFont="1" applyFill="1" applyBorder="1" applyAlignment="1">
      <alignment horizontal="center"/>
    </xf>
    <xf numFmtId="38" fontId="3" fillId="0" borderId="9" xfId="0" applyNumberFormat="1" applyFont="1" applyFill="1" applyBorder="1" applyAlignment="1">
      <alignment horizontal="center"/>
    </xf>
    <xf numFmtId="9" fontId="9" fillId="0" borderId="9" xfId="15" applyFont="1" applyFill="1" applyBorder="1" applyAlignment="1">
      <alignment horizontal="center"/>
    </xf>
    <xf numFmtId="0" fontId="9" fillId="0" borderId="9" xfId="0" applyFont="1" applyFill="1" applyBorder="1"/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right"/>
    </xf>
    <xf numFmtId="3" fontId="20" fillId="0" borderId="0" xfId="13" applyNumberFormat="1" applyFont="1" applyFill="1" applyBorder="1" applyAlignment="1">
      <alignment wrapText="1"/>
    </xf>
    <xf numFmtId="0" fontId="24" fillId="0" borderId="0" xfId="0" applyFont="1"/>
    <xf numFmtId="6" fontId="0" fillId="0" borderId="0" xfId="0" applyNumberFormat="1"/>
    <xf numFmtId="3" fontId="0" fillId="0" borderId="0" xfId="0" applyNumberFormat="1"/>
    <xf numFmtId="8" fontId="0" fillId="0" borderId="0" xfId="0" applyNumberFormat="1"/>
    <xf numFmtId="3" fontId="0" fillId="6" borderId="0" xfId="0" applyNumberFormat="1" applyFill="1"/>
    <xf numFmtId="169" fontId="0" fillId="0" borderId="0" xfId="0" applyNumberFormat="1"/>
    <xf numFmtId="9" fontId="2" fillId="0" borderId="9" xfId="15" applyNumberFormat="1" applyFont="1" applyFill="1" applyBorder="1" applyAlignment="1">
      <alignment horizontal="center"/>
    </xf>
    <xf numFmtId="0" fontId="24" fillId="7" borderId="0" xfId="0" applyFont="1" applyFill="1"/>
    <xf numFmtId="0" fontId="0" fillId="7" borderId="0" xfId="0" applyFill="1"/>
    <xf numFmtId="15" fontId="28" fillId="7" borderId="0" xfId="0" applyNumberFormat="1" applyFont="1" applyFill="1"/>
    <xf numFmtId="3" fontId="2" fillId="0" borderId="0" xfId="0" applyNumberFormat="1" applyFont="1"/>
    <xf numFmtId="169" fontId="0" fillId="7" borderId="0" xfId="0" applyNumberFormat="1" applyFill="1"/>
    <xf numFmtId="6" fontId="2" fillId="0" borderId="0" xfId="0" applyNumberFormat="1" applyFont="1"/>
    <xf numFmtId="169" fontId="2" fillId="0" borderId="0" xfId="0" applyNumberFormat="1" applyFont="1"/>
    <xf numFmtId="0" fontId="18" fillId="0" borderId="0" xfId="0" applyFont="1"/>
    <xf numFmtId="2" fontId="9" fillId="0" borderId="0" xfId="0" applyNumberFormat="1" applyFont="1"/>
    <xf numFmtId="0" fontId="2" fillId="0" borderId="0" xfId="0" applyFont="1" applyAlignment="1">
      <alignment horizontal="right"/>
    </xf>
    <xf numFmtId="9" fontId="0" fillId="2" borderId="0" xfId="0" applyNumberFormat="1" applyFill="1"/>
    <xf numFmtId="0" fontId="2" fillId="0" borderId="3" xfId="0" applyFont="1" applyBorder="1"/>
    <xf numFmtId="0" fontId="24" fillId="0" borderId="12" xfId="0" applyFont="1" applyBorder="1"/>
    <xf numFmtId="0" fontId="24" fillId="7" borderId="12" xfId="0" applyFont="1" applyFill="1" applyBorder="1"/>
    <xf numFmtId="0" fontId="25" fillId="0" borderId="12" xfId="0" applyFont="1" applyBorder="1"/>
    <xf numFmtId="0" fontId="24" fillId="0" borderId="13" xfId="0" applyFont="1" applyBorder="1"/>
    <xf numFmtId="0" fontId="25" fillId="0" borderId="12" xfId="0" applyFont="1" applyFill="1" applyBorder="1"/>
    <xf numFmtId="0" fontId="2" fillId="0" borderId="0" xfId="14" applyNumberFormat="1" applyFont="1" applyFill="1" applyBorder="1" applyAlignment="1"/>
    <xf numFmtId="0" fontId="9" fillId="0" borderId="0" xfId="14" applyNumberFormat="1" applyFont="1" applyFill="1" applyBorder="1" applyAlignment="1"/>
    <xf numFmtId="0" fontId="2" fillId="0" borderId="0" xfId="14" applyNumberFormat="1" applyFont="1" applyFill="1" applyBorder="1" applyAlignment="1">
      <alignment horizontal="right"/>
    </xf>
    <xf numFmtId="0" fontId="9" fillId="0" borderId="13" xfId="14" applyNumberFormat="1" applyFont="1" applyFill="1" applyBorder="1" applyAlignment="1"/>
    <xf numFmtId="172" fontId="19" fillId="0" borderId="3" xfId="14" applyNumberFormat="1" applyFont="1" applyFill="1" applyBorder="1" applyAlignment="1">
      <alignment wrapText="1"/>
    </xf>
    <xf numFmtId="0" fontId="20" fillId="0" borderId="12" xfId="14" applyNumberFormat="1" applyFont="1" applyFill="1" applyBorder="1" applyAlignment="1">
      <alignment wrapText="1"/>
    </xf>
    <xf numFmtId="173" fontId="19" fillId="2" borderId="0" xfId="14" applyNumberFormat="1" applyFont="1" applyFill="1" applyBorder="1" applyAlignment="1">
      <alignment wrapText="1"/>
    </xf>
    <xf numFmtId="166" fontId="20" fillId="0" borderId="0" xfId="14" applyNumberFormat="1" applyFont="1" applyFill="1" applyBorder="1" applyAlignment="1">
      <alignment wrapText="1"/>
    </xf>
    <xf numFmtId="9" fontId="19" fillId="2" borderId="0" xfId="17" applyFont="1" applyFill="1" applyBorder="1" applyAlignment="1">
      <alignment wrapText="1"/>
    </xf>
    <xf numFmtId="171" fontId="20" fillId="0" borderId="0" xfId="5" applyNumberFormat="1" applyFont="1" applyFill="1" applyBorder="1" applyAlignment="1">
      <alignment wrapText="1"/>
    </xf>
    <xf numFmtId="171" fontId="20" fillId="0" borderId="12" xfId="5" applyNumberFormat="1" applyFont="1" applyFill="1" applyBorder="1" applyAlignment="1">
      <alignment wrapText="1"/>
    </xf>
    <xf numFmtId="43" fontId="9" fillId="0" borderId="0" xfId="14" applyNumberFormat="1" applyFont="1" applyFill="1" applyBorder="1" applyAlignment="1"/>
    <xf numFmtId="173" fontId="20" fillId="0" borderId="0" xfId="17" applyNumberFormat="1" applyFont="1" applyFill="1" applyBorder="1" applyAlignment="1">
      <alignment wrapText="1"/>
    </xf>
    <xf numFmtId="173" fontId="20" fillId="0" borderId="12" xfId="17" applyNumberFormat="1" applyFont="1" applyFill="1" applyBorder="1" applyAlignment="1">
      <alignment wrapText="1"/>
    </xf>
    <xf numFmtId="0" fontId="20" fillId="0" borderId="0" xfId="14" applyNumberFormat="1" applyFont="1" applyFill="1" applyBorder="1" applyAlignment="1">
      <alignment wrapText="1"/>
    </xf>
    <xf numFmtId="0" fontId="20" fillId="0" borderId="14" xfId="14" applyNumberFormat="1" applyFont="1" applyFill="1" applyBorder="1" applyAlignment="1">
      <alignment wrapText="1"/>
    </xf>
    <xf numFmtId="0" fontId="19" fillId="0" borderId="14" xfId="14" applyNumberFormat="1" applyFont="1" applyFill="1" applyBorder="1" applyAlignment="1">
      <alignment wrapText="1"/>
    </xf>
    <xf numFmtId="171" fontId="20" fillId="0" borderId="1" xfId="5" applyNumberFormat="1" applyFont="1" applyFill="1" applyBorder="1" applyAlignment="1">
      <alignment wrapText="1"/>
    </xf>
    <xf numFmtId="0" fontId="19" fillId="0" borderId="0" xfId="14" applyNumberFormat="1" applyFont="1" applyFill="1" applyBorder="1" applyAlignment="1">
      <alignment wrapText="1"/>
    </xf>
    <xf numFmtId="0" fontId="20" fillId="0" borderId="13" xfId="14" applyNumberFormat="1" applyFont="1" applyFill="1" applyBorder="1" applyAlignment="1">
      <alignment wrapText="1"/>
    </xf>
    <xf numFmtId="172" fontId="19" fillId="0" borderId="3" xfId="5" applyNumberFormat="1" applyFont="1" applyFill="1" applyBorder="1" applyAlignment="1">
      <alignment wrapText="1"/>
    </xf>
    <xf numFmtId="172" fontId="19" fillId="0" borderId="13" xfId="5" applyNumberFormat="1" applyFont="1" applyFill="1" applyBorder="1" applyAlignment="1">
      <alignment wrapText="1"/>
    </xf>
    <xf numFmtId="9" fontId="20" fillId="0" borderId="0" xfId="17" applyFont="1" applyFill="1" applyBorder="1" applyAlignment="1">
      <alignment wrapText="1"/>
    </xf>
    <xf numFmtId="9" fontId="20" fillId="0" borderId="12" xfId="17" applyFont="1" applyFill="1" applyBorder="1" applyAlignment="1">
      <alignment wrapText="1"/>
    </xf>
    <xf numFmtId="9" fontId="20" fillId="0" borderId="0" xfId="14" applyNumberFormat="1" applyFont="1" applyFill="1" applyBorder="1" applyAlignment="1">
      <alignment wrapText="1"/>
    </xf>
    <xf numFmtId="171" fontId="20" fillId="0" borderId="0" xfId="5" applyNumberFormat="1" applyFont="1" applyFill="1" applyBorder="1" applyAlignment="1">
      <alignment horizontal="right" wrapText="1"/>
    </xf>
    <xf numFmtId="9" fontId="20" fillId="0" borderId="1" xfId="17" applyFont="1" applyFill="1" applyBorder="1" applyAlignment="1">
      <alignment wrapText="1"/>
    </xf>
    <xf numFmtId="0" fontId="19" fillId="0" borderId="12" xfId="14" applyNumberFormat="1" applyFont="1" applyFill="1" applyBorder="1" applyAlignment="1">
      <alignment wrapText="1"/>
    </xf>
    <xf numFmtId="173" fontId="20" fillId="0" borderId="0" xfId="14" applyNumberFormat="1" applyFont="1" applyFill="1" applyBorder="1" applyAlignment="1">
      <alignment wrapText="1"/>
    </xf>
    <xf numFmtId="172" fontId="20" fillId="0" borderId="0" xfId="14" applyNumberFormat="1" applyFont="1" applyFill="1" applyBorder="1" applyAlignment="1">
      <alignment wrapText="1"/>
    </xf>
    <xf numFmtId="0" fontId="19" fillId="0" borderId="0" xfId="13" applyNumberFormat="1" applyFont="1" applyFill="1" applyBorder="1" applyAlignment="1">
      <alignment horizontal="center" wrapText="1"/>
    </xf>
    <xf numFmtId="173" fontId="21" fillId="0" borderId="0" xfId="13" applyNumberFormat="1" applyFont="1" applyFill="1" applyBorder="1" applyAlignment="1">
      <alignment wrapText="1"/>
    </xf>
    <xf numFmtId="0" fontId="9" fillId="0" borderId="12" xfId="0" applyFont="1" applyBorder="1"/>
    <xf numFmtId="0" fontId="9" fillId="0" borderId="13" xfId="0" applyFont="1" applyBorder="1"/>
    <xf numFmtId="9" fontId="20" fillId="0" borderId="3" xfId="13" applyNumberFormat="1" applyFont="1" applyFill="1" applyBorder="1" applyAlignment="1">
      <alignment wrapText="1"/>
    </xf>
    <xf numFmtId="0" fontId="19" fillId="8" borderId="13" xfId="13" applyNumberFormat="1" applyFont="1" applyFill="1" applyBorder="1" applyAlignment="1"/>
    <xf numFmtId="172" fontId="19" fillId="0" borderId="3" xfId="13" applyNumberFormat="1" applyFont="1" applyFill="1" applyBorder="1" applyAlignment="1">
      <alignment wrapText="1"/>
    </xf>
    <xf numFmtId="0" fontId="20" fillId="0" borderId="12" xfId="13" applyNumberFormat="1" applyFont="1" applyFill="1" applyBorder="1" applyAlignment="1"/>
    <xf numFmtId="9" fontId="20" fillId="2" borderId="0" xfId="13" applyNumberFormat="1" applyFont="1" applyFill="1" applyBorder="1" applyAlignment="1">
      <alignment wrapText="1"/>
    </xf>
    <xf numFmtId="9" fontId="20" fillId="2" borderId="0" xfId="4" applyNumberFormat="1" applyFont="1" applyFill="1" applyBorder="1" applyAlignment="1">
      <alignment wrapText="1"/>
    </xf>
    <xf numFmtId="9" fontId="20" fillId="2" borderId="3" xfId="13" applyNumberFormat="1" applyFont="1" applyFill="1" applyBorder="1" applyAlignment="1">
      <alignment wrapText="1"/>
    </xf>
    <xf numFmtId="0" fontId="2" fillId="8" borderId="13" xfId="0" applyFont="1" applyFill="1" applyBorder="1"/>
    <xf numFmtId="172" fontId="2" fillId="0" borderId="3" xfId="0" applyNumberFormat="1" applyFont="1" applyBorder="1"/>
    <xf numFmtId="0" fontId="9" fillId="0" borderId="12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2" fillId="0" borderId="15" xfId="0" applyFont="1" applyFill="1" applyBorder="1"/>
    <xf numFmtId="37" fontId="20" fillId="0" borderId="0" xfId="5" applyNumberFormat="1" applyFont="1" applyFill="1" applyBorder="1" applyAlignment="1">
      <alignment wrapText="1"/>
    </xf>
    <xf numFmtId="9" fontId="0" fillId="2" borderId="1" xfId="0" applyNumberFormat="1" applyFill="1" applyBorder="1"/>
    <xf numFmtId="3" fontId="0" fillId="0" borderId="5" xfId="0" applyNumberFormat="1" applyBorder="1"/>
    <xf numFmtId="3" fontId="20" fillId="2" borderId="0" xfId="13" applyNumberFormat="1" applyFont="1" applyFill="1" applyBorder="1" applyAlignment="1">
      <alignment wrapText="1"/>
    </xf>
    <xf numFmtId="9" fontId="1" fillId="2" borderId="0" xfId="13" applyNumberFormat="1" applyFont="1" applyFill="1" applyBorder="1" applyAlignment="1"/>
    <xf numFmtId="171" fontId="20" fillId="0" borderId="0" xfId="14" applyNumberFormat="1" applyFont="1" applyFill="1" applyBorder="1" applyAlignment="1">
      <alignment wrapText="1"/>
    </xf>
    <xf numFmtId="3" fontId="0" fillId="2" borderId="0" xfId="0" applyNumberFormat="1" applyFill="1"/>
    <xf numFmtId="3" fontId="0" fillId="2" borderId="3" xfId="0" applyNumberFormat="1" applyFill="1" applyBorder="1"/>
    <xf numFmtId="169" fontId="0" fillId="0" borderId="3" xfId="0" applyNumberFormat="1" applyBorder="1"/>
    <xf numFmtId="0" fontId="25" fillId="0" borderId="1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3" xfId="0" applyFont="1" applyFill="1" applyBorder="1"/>
    <xf numFmtId="169" fontId="2" fillId="0" borderId="3" xfId="0" applyNumberFormat="1" applyFont="1" applyFill="1" applyBorder="1"/>
    <xf numFmtId="169" fontId="2" fillId="0" borderId="3" xfId="0" applyNumberFormat="1" applyFont="1" applyFill="1" applyBorder="1" applyAlignment="1">
      <alignment horizontal="right"/>
    </xf>
    <xf numFmtId="0" fontId="25" fillId="0" borderId="16" xfId="0" applyFont="1" applyBorder="1"/>
    <xf numFmtId="0" fontId="2" fillId="2" borderId="3" xfId="0" applyFont="1" applyFill="1" applyBorder="1" applyAlignment="1">
      <alignment horizontal="right"/>
    </xf>
    <xf numFmtId="37" fontId="20" fillId="0" borderId="16" xfId="5" applyNumberFormat="1" applyFont="1" applyFill="1" applyBorder="1" applyAlignment="1">
      <alignment wrapText="1"/>
    </xf>
    <xf numFmtId="0" fontId="19" fillId="0" borderId="17" xfId="14" applyNumberFormat="1" applyFont="1" applyFill="1" applyBorder="1" applyAlignment="1">
      <alignment horizontal="right" wrapText="1"/>
    </xf>
    <xf numFmtId="0" fontId="2" fillId="0" borderId="17" xfId="14" applyNumberFormat="1" applyFont="1" applyFill="1" applyBorder="1" applyAlignment="1">
      <alignment horizontal="right"/>
    </xf>
    <xf numFmtId="173" fontId="19" fillId="0" borderId="0" xfId="14" applyNumberFormat="1" applyFont="1" applyFill="1" applyBorder="1" applyAlignment="1">
      <alignment wrapText="1"/>
    </xf>
    <xf numFmtId="9" fontId="0" fillId="0" borderId="0" xfId="0" applyNumberFormat="1" applyAlignment="1"/>
    <xf numFmtId="0" fontId="2" fillId="8" borderId="0" xfId="14" applyNumberFormat="1" applyFont="1" applyFill="1" applyBorder="1" applyAlignment="1"/>
    <xf numFmtId="0" fontId="2" fillId="8" borderId="0" xfId="13" applyNumberFormat="1" applyFont="1" applyFill="1" applyBorder="1" applyAlignment="1"/>
    <xf numFmtId="0" fontId="19" fillId="8" borderId="0" xfId="14" applyNumberFormat="1" applyFont="1" applyFill="1" applyBorder="1" applyAlignment="1">
      <alignment wrapText="1"/>
    </xf>
    <xf numFmtId="0" fontId="2" fillId="2" borderId="12" xfId="0" applyFont="1" applyFill="1" applyBorder="1"/>
    <xf numFmtId="9" fontId="26" fillId="2" borderId="0" xfId="15" applyFont="1" applyFill="1"/>
    <xf numFmtId="0" fontId="24" fillId="0" borderId="12" xfId="0" applyFont="1" applyFill="1" applyBorder="1"/>
    <xf numFmtId="37" fontId="27" fillId="2" borderId="0" xfId="4" applyNumberFormat="1" applyFont="1" applyFill="1"/>
    <xf numFmtId="171" fontId="2" fillId="0" borderId="0" xfId="4" applyNumberFormat="1" applyFont="1"/>
    <xf numFmtId="9" fontId="27" fillId="2" borderId="0" xfId="15" applyFont="1" applyFill="1"/>
    <xf numFmtId="9" fontId="27" fillId="2" borderId="12" xfId="15" applyFont="1" applyFill="1" applyBorder="1"/>
    <xf numFmtId="0" fontId="0" fillId="0" borderId="12" xfId="0" applyBorder="1"/>
    <xf numFmtId="0" fontId="2" fillId="2" borderId="4" xfId="0" applyFont="1" applyFill="1" applyBorder="1" applyAlignment="1">
      <alignment horizontal="right"/>
    </xf>
    <xf numFmtId="0" fontId="25" fillId="0" borderId="0" xfId="0" applyFont="1" applyBorder="1"/>
    <xf numFmtId="0" fontId="2" fillId="0" borderId="0" xfId="0" applyFont="1" applyBorder="1"/>
    <xf numFmtId="0" fontId="24" fillId="0" borderId="1" xfId="0" applyFont="1" applyBorder="1"/>
    <xf numFmtId="3" fontId="0" fillId="0" borderId="1" xfId="0" applyNumberFormat="1" applyBorder="1"/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8" xfId="0" applyFont="1" applyFill="1" applyBorder="1" applyAlignment="1">
      <alignment horizontal="right"/>
    </xf>
    <xf numFmtId="3" fontId="3" fillId="0" borderId="0" xfId="0" applyNumberFormat="1" applyFont="1" applyFill="1" applyBorder="1"/>
    <xf numFmtId="164" fontId="0" fillId="0" borderId="0" xfId="0" applyNumberFormat="1"/>
    <xf numFmtId="0" fontId="2" fillId="0" borderId="0" xfId="0" applyFont="1"/>
    <xf numFmtId="9" fontId="2" fillId="2" borderId="0" xfId="0" applyNumberFormat="1" applyFont="1" applyFill="1"/>
    <xf numFmtId="9" fontId="2" fillId="2" borderId="0" xfId="15" applyFont="1" applyFill="1"/>
    <xf numFmtId="0" fontId="2" fillId="0" borderId="0" xfId="13" applyNumberFormat="1" applyFont="1" applyFill="1" applyBorder="1" applyAlignment="1"/>
    <xf numFmtId="3" fontId="19" fillId="2" borderId="0" xfId="13" applyNumberFormat="1" applyFont="1" applyFill="1" applyBorder="1" applyAlignment="1">
      <alignment wrapText="1"/>
    </xf>
    <xf numFmtId="9" fontId="19" fillId="3" borderId="12" xfId="17" applyFont="1" applyFill="1" applyBorder="1" applyAlignment="1">
      <alignment wrapText="1"/>
    </xf>
    <xf numFmtId="9" fontId="19" fillId="0" borderId="14" xfId="17" applyFont="1" applyFill="1" applyBorder="1" applyAlignment="1">
      <alignment wrapText="1"/>
    </xf>
    <xf numFmtId="171" fontId="19" fillId="0" borderId="1" xfId="5" applyNumberFormat="1" applyFont="1" applyFill="1" applyBorder="1" applyAlignment="1">
      <alignment wrapText="1"/>
    </xf>
    <xf numFmtId="0" fontId="19" fillId="0" borderId="13" xfId="14" applyNumberFormat="1" applyFont="1" applyFill="1" applyBorder="1" applyAlignment="1">
      <alignment wrapText="1"/>
    </xf>
    <xf numFmtId="0" fontId="20" fillId="0" borderId="19" xfId="14" applyNumberFormat="1" applyFont="1" applyFill="1" applyBorder="1" applyAlignment="1">
      <alignment wrapText="1"/>
    </xf>
    <xf numFmtId="171" fontId="19" fillId="0" borderId="6" xfId="5" applyNumberFormat="1" applyFont="1" applyFill="1" applyBorder="1" applyAlignment="1">
      <alignment wrapText="1"/>
    </xf>
    <xf numFmtId="9" fontId="19" fillId="0" borderId="1" xfId="15" applyFont="1" applyFill="1" applyBorder="1" applyAlignment="1">
      <alignment wrapText="1"/>
    </xf>
    <xf numFmtId="171" fontId="19" fillId="0" borderId="0" xfId="5" applyNumberFormat="1" applyFont="1" applyFill="1" applyBorder="1" applyAlignment="1">
      <alignment wrapText="1"/>
    </xf>
    <xf numFmtId="172" fontId="2" fillId="0" borderId="0" xfId="14" applyNumberFormat="1" applyFont="1" applyFill="1" applyBorder="1" applyAlignment="1"/>
    <xf numFmtId="0" fontId="20" fillId="0" borderId="0" xfId="14" applyNumberFormat="1" applyFont="1" applyFill="1" applyBorder="1" applyAlignment="1"/>
    <xf numFmtId="171" fontId="0" fillId="0" borderId="0" xfId="5" applyNumberFormat="1" applyFont="1"/>
    <xf numFmtId="0" fontId="9" fillId="0" borderId="3" xfId="0" applyFont="1" applyBorder="1"/>
    <xf numFmtId="171" fontId="31" fillId="0" borderId="0" xfId="4" applyNumberFormat="1" applyFont="1"/>
    <xf numFmtId="171" fontId="9" fillId="0" borderId="0" xfId="4" applyNumberFormat="1" applyFont="1"/>
    <xf numFmtId="9" fontId="9" fillId="0" borderId="0" xfId="15" applyFont="1"/>
    <xf numFmtId="0" fontId="28" fillId="4" borderId="0" xfId="0" applyFont="1" applyFill="1"/>
    <xf numFmtId="3" fontId="9" fillId="0" borderId="0" xfId="0" applyNumberFormat="1" applyFont="1"/>
    <xf numFmtId="171" fontId="2" fillId="2" borderId="0" xfId="4" applyNumberFormat="1" applyFont="1" applyFill="1"/>
    <xf numFmtId="171" fontId="32" fillId="2" borderId="0" xfId="4" applyNumberFormat="1" applyFont="1" applyFill="1"/>
    <xf numFmtId="0" fontId="2" fillId="2" borderId="0" xfId="0" applyFont="1" applyFill="1"/>
    <xf numFmtId="166" fontId="38" fillId="0" borderId="0" xfId="1" applyNumberFormat="1" applyFont="1" applyFill="1"/>
    <xf numFmtId="166" fontId="39" fillId="2" borderId="0" xfId="1" applyNumberFormat="1" applyFont="1" applyFill="1"/>
    <xf numFmtId="43" fontId="0" fillId="0" borderId="0" xfId="1" applyFont="1"/>
    <xf numFmtId="170" fontId="0" fillId="0" borderId="3" xfId="4" applyNumberFormat="1" applyFont="1" applyBorder="1"/>
    <xf numFmtId="0" fontId="7" fillId="0" borderId="0" xfId="0" applyFont="1"/>
    <xf numFmtId="1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0" fontId="0" fillId="0" borderId="3" xfId="0" applyNumberFormat="1" applyBorder="1"/>
    <xf numFmtId="0" fontId="4" fillId="9" borderId="3" xfId="0" applyFont="1" applyFill="1" applyBorder="1"/>
    <xf numFmtId="17" fontId="3" fillId="9" borderId="7" xfId="0" applyNumberFormat="1" applyFont="1" applyFill="1" applyBorder="1"/>
    <xf numFmtId="38" fontId="4" fillId="9" borderId="7" xfId="0" applyNumberFormat="1" applyFont="1" applyFill="1" applyBorder="1"/>
    <xf numFmtId="0" fontId="2" fillId="0" borderId="0" xfId="13" applyNumberFormat="1" applyFont="1" applyFill="1" applyBorder="1" applyAlignment="1">
      <alignment wrapText="1"/>
    </xf>
    <xf numFmtId="9" fontId="1" fillId="0" borderId="0" xfId="0" applyNumberFormat="1" applyFont="1"/>
    <xf numFmtId="0" fontId="22" fillId="0" borderId="0" xfId="11" applyFont="1" applyBorder="1"/>
    <xf numFmtId="43" fontId="22" fillId="0" borderId="0" xfId="3" applyFont="1" applyBorder="1"/>
    <xf numFmtId="171" fontId="22" fillId="0" borderId="0" xfId="10" applyNumberFormat="1" applyFont="1" applyBorder="1"/>
    <xf numFmtId="0" fontId="40" fillId="0" borderId="0" xfId="11" applyFont="1" applyBorder="1" applyAlignment="1">
      <alignment horizontal="right"/>
    </xf>
    <xf numFmtId="0" fontId="34" fillId="0" borderId="0" xfId="11" applyFont="1" applyFill="1" applyBorder="1" applyAlignment="1">
      <alignment horizontal="center"/>
    </xf>
    <xf numFmtId="43" fontId="22" fillId="0" borderId="0" xfId="3" applyFont="1" applyBorder="1" applyAlignment="1">
      <alignment horizontal="center"/>
    </xf>
    <xf numFmtId="0" fontId="34" fillId="0" borderId="0" xfId="11" applyFont="1" applyBorder="1"/>
    <xf numFmtId="175" fontId="34" fillId="0" borderId="0" xfId="11" applyNumberFormat="1" applyFont="1" applyFill="1" applyBorder="1" applyAlignment="1">
      <alignment horizontal="center"/>
    </xf>
    <xf numFmtId="175" fontId="22" fillId="0" borderId="0" xfId="11" applyNumberFormat="1" applyFont="1" applyFill="1" applyBorder="1" applyAlignment="1">
      <alignment horizontal="center"/>
    </xf>
    <xf numFmtId="0" fontId="34" fillId="0" borderId="0" xfId="11" applyFont="1" applyFill="1" applyBorder="1"/>
    <xf numFmtId="0" fontId="22" fillId="0" borderId="0" xfId="11" applyFont="1" applyFill="1" applyBorder="1" applyAlignment="1">
      <alignment horizontal="right"/>
    </xf>
    <xf numFmtId="41" fontId="22" fillId="0" borderId="0" xfId="11" applyNumberFormat="1" applyFont="1" applyFill="1" applyBorder="1" applyAlignment="1">
      <alignment horizontal="center"/>
    </xf>
    <xf numFmtId="171" fontId="22" fillId="2" borderId="0" xfId="4" applyNumberFormat="1" applyFont="1" applyFill="1"/>
    <xf numFmtId="171" fontId="22" fillId="0" borderId="0" xfId="6" applyNumberFormat="1" applyFont="1" applyFill="1" applyBorder="1"/>
    <xf numFmtId="171" fontId="22" fillId="0" borderId="0" xfId="6" applyNumberFormat="1" applyFont="1" applyBorder="1"/>
    <xf numFmtId="171" fontId="22" fillId="0" borderId="0" xfId="6" applyNumberFormat="1" applyFont="1" applyBorder="1" applyAlignment="1">
      <alignment horizontal="center"/>
    </xf>
    <xf numFmtId="0" fontId="22" fillId="0" borderId="0" xfId="11" applyFont="1" applyFill="1" applyBorder="1"/>
    <xf numFmtId="166" fontId="22" fillId="2" borderId="0" xfId="1" applyNumberFormat="1" applyFont="1" applyFill="1"/>
    <xf numFmtId="166" fontId="22" fillId="0" borderId="0" xfId="1" applyNumberFormat="1" applyFont="1" applyFill="1"/>
    <xf numFmtId="41" fontId="22" fillId="0" borderId="20" xfId="11" applyNumberFormat="1" applyFont="1" applyFill="1" applyBorder="1" applyAlignment="1">
      <alignment horizontal="center"/>
    </xf>
    <xf numFmtId="0" fontId="22" fillId="0" borderId="0" xfId="11" applyFont="1" applyFill="1" applyBorder="1" applyAlignment="1">
      <alignment horizontal="center"/>
    </xf>
    <xf numFmtId="171" fontId="22" fillId="0" borderId="20" xfId="6" applyNumberFormat="1" applyFont="1" applyBorder="1" applyAlignment="1">
      <alignment horizontal="center"/>
    </xf>
    <xf numFmtId="0" fontId="35" fillId="0" borderId="0" xfId="11" applyFont="1" applyBorder="1" applyAlignment="1">
      <alignment horizontal="right"/>
    </xf>
    <xf numFmtId="171" fontId="22" fillId="0" borderId="0" xfId="6" applyNumberFormat="1" applyFont="1" applyFill="1" applyBorder="1" applyAlignment="1">
      <alignment horizontal="right"/>
    </xf>
    <xf numFmtId="41" fontId="22" fillId="0" borderId="0" xfId="6" applyNumberFormat="1" applyFont="1" applyFill="1" applyBorder="1" applyAlignment="1">
      <alignment horizontal="center"/>
    </xf>
    <xf numFmtId="171" fontId="22" fillId="0" borderId="0" xfId="6" applyNumberFormat="1" applyFont="1" applyBorder="1" applyAlignment="1">
      <alignment horizontal="right"/>
    </xf>
    <xf numFmtId="9" fontId="22" fillId="0" borderId="0" xfId="15" applyFont="1" applyFill="1" applyBorder="1" applyAlignment="1">
      <alignment horizontal="right"/>
    </xf>
    <xf numFmtId="9" fontId="22" fillId="0" borderId="0" xfId="18" applyFont="1" applyBorder="1" applyAlignment="1">
      <alignment horizontal="center"/>
    </xf>
    <xf numFmtId="0" fontId="22" fillId="0" borderId="0" xfId="11" applyFont="1" applyBorder="1" applyAlignment="1">
      <alignment horizontal="right"/>
    </xf>
    <xf numFmtId="9" fontId="22" fillId="2" borderId="0" xfId="15" applyFont="1" applyFill="1"/>
    <xf numFmtId="9" fontId="22" fillId="0" borderId="0" xfId="18" applyFont="1" applyBorder="1" applyAlignment="1">
      <alignment horizontal="right"/>
    </xf>
    <xf numFmtId="9" fontId="22" fillId="0" borderId="0" xfId="18" applyFont="1" applyFill="1" applyBorder="1" applyAlignment="1">
      <alignment horizontal="right"/>
    </xf>
    <xf numFmtId="165" fontId="22" fillId="2" borderId="0" xfId="1" applyNumberFormat="1" applyFont="1" applyFill="1"/>
    <xf numFmtId="9" fontId="22" fillId="0" borderId="0" xfId="15" applyFont="1" applyFill="1" applyBorder="1"/>
    <xf numFmtId="169" fontId="22" fillId="2" borderId="0" xfId="15" applyNumberFormat="1" applyFont="1" applyFill="1"/>
    <xf numFmtId="9" fontId="22" fillId="0" borderId="0" xfId="11" applyNumberFormat="1" applyFont="1" applyBorder="1"/>
    <xf numFmtId="164" fontId="22" fillId="0" borderId="0" xfId="11" applyNumberFormat="1" applyFont="1" applyFill="1" applyBorder="1"/>
    <xf numFmtId="41" fontId="22" fillId="0" borderId="0" xfId="11" applyNumberFormat="1" applyFont="1" applyFill="1" applyBorder="1"/>
    <xf numFmtId="41" fontId="22" fillId="0" borderId="0" xfId="11" applyNumberFormat="1" applyFont="1" applyBorder="1"/>
    <xf numFmtId="43" fontId="22" fillId="0" borderId="0" xfId="3" applyFont="1" applyFill="1" applyBorder="1"/>
    <xf numFmtId="0" fontId="22" fillId="0" borderId="0" xfId="10" applyFont="1"/>
    <xf numFmtId="0" fontId="22" fillId="0" borderId="0" xfId="10" applyFont="1" applyFill="1"/>
    <xf numFmtId="0" fontId="22" fillId="0" borderId="0" xfId="10" applyFont="1" applyFill="1" applyAlignment="1">
      <alignment wrapText="1"/>
    </xf>
    <xf numFmtId="171" fontId="35" fillId="0" borderId="0" xfId="4" applyNumberFormat="1" applyFont="1"/>
    <xf numFmtId="171" fontId="35" fillId="10" borderId="0" xfId="4" applyNumberFormat="1" applyFont="1" applyFill="1"/>
    <xf numFmtId="171" fontId="35" fillId="0" borderId="0" xfId="10" applyNumberFormat="1" applyFont="1"/>
    <xf numFmtId="0" fontId="41" fillId="0" borderId="0" xfId="11" applyFont="1" applyFill="1" applyBorder="1" applyAlignment="1">
      <alignment horizontal="left" indent="1"/>
    </xf>
    <xf numFmtId="0" fontId="41" fillId="0" borderId="0" xfId="11" applyFont="1" applyFill="1" applyBorder="1"/>
    <xf numFmtId="171" fontId="41" fillId="0" borderId="0" xfId="4" applyNumberFormat="1" applyFont="1" applyFill="1"/>
    <xf numFmtId="171" fontId="36" fillId="10" borderId="0" xfId="4" applyNumberFormat="1" applyFont="1" applyFill="1"/>
    <xf numFmtId="0" fontId="41" fillId="0" borderId="0" xfId="10" applyFont="1" applyFill="1"/>
    <xf numFmtId="171" fontId="41" fillId="0" borderId="0" xfId="10" applyNumberFormat="1" applyFont="1" applyFill="1"/>
    <xf numFmtId="0" fontId="22" fillId="0" borderId="0" xfId="11" applyFont="1" applyFill="1" applyBorder="1" applyAlignment="1">
      <alignment horizontal="left" indent="2"/>
    </xf>
    <xf numFmtId="171" fontId="22" fillId="0" borderId="0" xfId="4" applyNumberFormat="1" applyFont="1" applyFill="1"/>
    <xf numFmtId="0" fontId="22" fillId="0" borderId="0" xfId="11" applyFont="1" applyFill="1" applyBorder="1" applyAlignment="1">
      <alignment horizontal="left" indent="1"/>
    </xf>
    <xf numFmtId="0" fontId="42" fillId="0" borderId="0" xfId="11" applyFont="1" applyFill="1" applyBorder="1" applyAlignment="1">
      <alignment horizontal="left" indent="1"/>
    </xf>
    <xf numFmtId="171" fontId="42" fillId="0" borderId="0" xfId="4" applyNumberFormat="1" applyFont="1" applyFill="1"/>
    <xf numFmtId="0" fontId="42" fillId="0" borderId="0" xfId="10" applyFont="1" applyFill="1"/>
    <xf numFmtId="0" fontId="42" fillId="0" borderId="0" xfId="11" applyFont="1" applyFill="1" applyBorder="1" applyAlignment="1">
      <alignment horizontal="left" indent="2"/>
    </xf>
    <xf numFmtId="0" fontId="41" fillId="0" borderId="0" xfId="11" applyFont="1" applyFill="1" applyBorder="1" applyAlignment="1">
      <alignment horizontal="left"/>
    </xf>
    <xf numFmtId="0" fontId="41" fillId="0" borderId="0" xfId="10" applyFont="1"/>
    <xf numFmtId="0" fontId="34" fillId="0" borderId="0" xfId="11" applyFont="1" applyFill="1" applyBorder="1" applyAlignment="1">
      <alignment horizontal="left"/>
    </xf>
    <xf numFmtId="171" fontId="35" fillId="0" borderId="0" xfId="4" applyNumberFormat="1" applyFont="1" applyFill="1"/>
    <xf numFmtId="0" fontId="42" fillId="0" borderId="0" xfId="10" applyFont="1"/>
    <xf numFmtId="171" fontId="34" fillId="0" borderId="0" xfId="4" applyNumberFormat="1" applyFont="1"/>
    <xf numFmtId="0" fontId="22" fillId="0" borderId="21" xfId="11" applyFont="1" applyFill="1" applyBorder="1" applyAlignment="1">
      <alignment horizontal="left" indent="2"/>
    </xf>
    <xf numFmtId="171" fontId="36" fillId="0" borderId="0" xfId="4" applyNumberFormat="1" applyFont="1" applyFill="1"/>
    <xf numFmtId="0" fontId="22" fillId="0" borderId="0" xfId="11" applyFont="1" applyFill="1" applyBorder="1" applyAlignment="1">
      <alignment horizontal="left" indent="3"/>
    </xf>
    <xf numFmtId="171" fontId="34" fillId="0" borderId="0" xfId="4" applyNumberFormat="1" applyFont="1" applyFill="1"/>
    <xf numFmtId="0" fontId="34" fillId="0" borderId="0" xfId="10" applyFont="1"/>
    <xf numFmtId="0" fontId="34" fillId="0" borderId="0" xfId="11" applyFont="1" applyFill="1" applyBorder="1" applyAlignment="1">
      <alignment horizontal="right" indent="14"/>
    </xf>
    <xf numFmtId="0" fontId="22" fillId="0" borderId="0" xfId="11" applyFont="1" applyFill="1" applyBorder="1" applyAlignment="1">
      <alignment horizontal="right" indent="14"/>
    </xf>
    <xf numFmtId="171" fontId="34" fillId="0" borderId="0" xfId="10" applyNumberFormat="1" applyFont="1" applyFill="1"/>
    <xf numFmtId="0" fontId="34" fillId="0" borderId="21" xfId="11" applyFont="1" applyFill="1" applyBorder="1"/>
    <xf numFmtId="0" fontId="22" fillId="0" borderId="0" xfId="10" applyFont="1" applyBorder="1"/>
    <xf numFmtId="0" fontId="22" fillId="10" borderId="0" xfId="10" applyFont="1" applyFill="1" applyBorder="1"/>
    <xf numFmtId="0" fontId="22" fillId="10" borderId="22" xfId="10" applyFont="1" applyFill="1" applyBorder="1"/>
    <xf numFmtId="0" fontId="22" fillId="0" borderId="21" xfId="11" applyFont="1" applyFill="1" applyBorder="1"/>
    <xf numFmtId="0" fontId="22" fillId="0" borderId="21" xfId="11" applyFont="1" applyFill="1" applyBorder="1" applyAlignment="1">
      <alignment horizontal="left" indent="1"/>
    </xf>
    <xf numFmtId="171" fontId="22" fillId="0" borderId="0" xfId="4" applyNumberFormat="1" applyFont="1" applyFill="1" applyBorder="1"/>
    <xf numFmtId="166" fontId="22" fillId="0" borderId="0" xfId="1" applyNumberFormat="1" applyFont="1" applyFill="1" applyBorder="1"/>
    <xf numFmtId="166" fontId="22" fillId="10" borderId="0" xfId="1" applyNumberFormat="1" applyFont="1" applyFill="1" applyBorder="1"/>
    <xf numFmtId="166" fontId="22" fillId="10" borderId="22" xfId="1" applyNumberFormat="1" applyFont="1" applyFill="1" applyBorder="1"/>
    <xf numFmtId="0" fontId="22" fillId="0" borderId="0" xfId="10" applyFont="1" applyFill="1" applyBorder="1"/>
    <xf numFmtId="171" fontId="22" fillId="0" borderId="0" xfId="4" applyNumberFormat="1" applyFont="1" applyFill="1" applyBorder="1" applyAlignment="1">
      <alignment horizontal="left"/>
    </xf>
    <xf numFmtId="0" fontId="22" fillId="11" borderId="0" xfId="10" applyFont="1" applyFill="1" applyBorder="1"/>
    <xf numFmtId="166" fontId="22" fillId="11" borderId="0" xfId="1" applyNumberFormat="1" applyFont="1" applyFill="1" applyBorder="1"/>
    <xf numFmtId="0" fontId="42" fillId="0" borderId="21" xfId="11" applyFont="1" applyFill="1" applyBorder="1" applyAlignment="1">
      <alignment horizontal="left" indent="1"/>
    </xf>
    <xf numFmtId="0" fontId="42" fillId="0" borderId="0" xfId="10" applyFont="1" applyFill="1" applyBorder="1"/>
    <xf numFmtId="0" fontId="42" fillId="0" borderId="0" xfId="10" applyFont="1" applyBorder="1"/>
    <xf numFmtId="0" fontId="42" fillId="10" borderId="0" xfId="10" applyFont="1" applyFill="1" applyBorder="1"/>
    <xf numFmtId="0" fontId="42" fillId="10" borderId="22" xfId="10" applyFont="1" applyFill="1" applyBorder="1"/>
    <xf numFmtId="0" fontId="42" fillId="0" borderId="21" xfId="11" applyFont="1" applyFill="1" applyBorder="1" applyAlignment="1">
      <alignment horizontal="left" indent="2"/>
    </xf>
    <xf numFmtId="171" fontId="42" fillId="0" borderId="0" xfId="4" applyNumberFormat="1" applyFont="1" applyFill="1" applyBorder="1"/>
    <xf numFmtId="166" fontId="42" fillId="0" borderId="0" xfId="10" applyNumberFormat="1" applyFont="1" applyFill="1" applyBorder="1"/>
    <xf numFmtId="166" fontId="42" fillId="0" borderId="0" xfId="10" applyNumberFormat="1" applyFont="1" applyBorder="1"/>
    <xf numFmtId="166" fontId="42" fillId="10" borderId="0" xfId="10" applyNumberFormat="1" applyFont="1" applyFill="1" applyBorder="1"/>
    <xf numFmtId="166" fontId="42" fillId="10" borderId="22" xfId="10" applyNumberFormat="1" applyFont="1" applyFill="1" applyBorder="1"/>
    <xf numFmtId="0" fontId="22" fillId="0" borderId="21" xfId="11" applyFont="1" applyFill="1" applyBorder="1" applyAlignment="1">
      <alignment horizontal="left"/>
    </xf>
    <xf numFmtId="166" fontId="22" fillId="0" borderId="0" xfId="10" applyNumberFormat="1" applyFont="1" applyFill="1" applyBorder="1"/>
    <xf numFmtId="166" fontId="22" fillId="0" borderId="0" xfId="10" applyNumberFormat="1" applyFont="1" applyBorder="1"/>
    <xf numFmtId="166" fontId="22" fillId="10" borderId="0" xfId="10" applyNumberFormat="1" applyFont="1" applyFill="1" applyBorder="1"/>
    <xf numFmtId="166" fontId="22" fillId="10" borderId="22" xfId="10" applyNumberFormat="1" applyFont="1" applyFill="1" applyBorder="1"/>
    <xf numFmtId="0" fontId="34" fillId="0" borderId="21" xfId="11" applyFont="1" applyFill="1" applyBorder="1" applyAlignment="1">
      <alignment horizontal="left"/>
    </xf>
    <xf numFmtId="165" fontId="22" fillId="0" borderId="0" xfId="1" applyNumberFormat="1" applyFont="1" applyFill="1" applyBorder="1"/>
    <xf numFmtId="165" fontId="22" fillId="10" borderId="0" xfId="1" applyNumberFormat="1" applyFont="1" applyFill="1" applyBorder="1"/>
    <xf numFmtId="165" fontId="22" fillId="10" borderId="22" xfId="1" applyNumberFormat="1" applyFont="1" applyFill="1" applyBorder="1"/>
    <xf numFmtId="9" fontId="22" fillId="11" borderId="0" xfId="15" applyFont="1" applyFill="1" applyBorder="1"/>
    <xf numFmtId="0" fontId="22" fillId="0" borderId="23" xfId="11" applyFont="1" applyFill="1" applyBorder="1" applyAlignment="1">
      <alignment horizontal="left" indent="1"/>
    </xf>
    <xf numFmtId="0" fontId="22" fillId="0" borderId="3" xfId="11" applyFont="1" applyFill="1" applyBorder="1" applyAlignment="1">
      <alignment horizontal="left" indent="1"/>
    </xf>
    <xf numFmtId="0" fontId="22" fillId="0" borderId="3" xfId="10" applyFont="1" applyBorder="1"/>
    <xf numFmtId="0" fontId="22" fillId="10" borderId="3" xfId="10" applyFont="1" applyFill="1" applyBorder="1"/>
    <xf numFmtId="0" fontId="22" fillId="10" borderId="24" xfId="10" applyFont="1" applyFill="1" applyBorder="1"/>
    <xf numFmtId="175" fontId="22" fillId="0" borderId="0" xfId="10" applyNumberFormat="1" applyFont="1" applyAlignment="1">
      <alignment horizontal="left"/>
    </xf>
    <xf numFmtId="0" fontId="22" fillId="0" borderId="0" xfId="10" applyFont="1" applyAlignment="1">
      <alignment horizontal="right"/>
    </xf>
    <xf numFmtId="175" fontId="34" fillId="0" borderId="0" xfId="10" applyNumberFormat="1" applyFont="1" applyFill="1" applyAlignment="1">
      <alignment wrapText="1"/>
    </xf>
    <xf numFmtId="10" fontId="35" fillId="0" borderId="0" xfId="15" applyNumberFormat="1" applyFont="1" applyFill="1"/>
    <xf numFmtId="171" fontId="35" fillId="0" borderId="0" xfId="10" applyNumberFormat="1" applyFont="1" applyFill="1"/>
    <xf numFmtId="10" fontId="41" fillId="0" borderId="0" xfId="15" applyNumberFormat="1" applyFont="1" applyFill="1"/>
    <xf numFmtId="9" fontId="41" fillId="0" borderId="0" xfId="15" applyFont="1" applyFill="1"/>
    <xf numFmtId="10" fontId="36" fillId="0" borderId="0" xfId="15" applyNumberFormat="1" applyFont="1" applyFill="1"/>
    <xf numFmtId="9" fontId="22" fillId="0" borderId="0" xfId="15" applyFont="1" applyFill="1"/>
    <xf numFmtId="10" fontId="43" fillId="0" borderId="0" xfId="15" applyNumberFormat="1" applyFont="1" applyFill="1"/>
    <xf numFmtId="9" fontId="42" fillId="0" borderId="0" xfId="15" applyFont="1" applyFill="1"/>
    <xf numFmtId="171" fontId="44" fillId="0" borderId="0" xfId="4" applyNumberFormat="1" applyFont="1" applyFill="1"/>
    <xf numFmtId="9" fontId="34" fillId="0" borderId="0" xfId="15" applyFont="1" applyFill="1"/>
    <xf numFmtId="0" fontId="34" fillId="0" borderId="0" xfId="10" applyFont="1" applyFill="1"/>
    <xf numFmtId="171" fontId="22" fillId="0" borderId="0" xfId="10" applyNumberFormat="1" applyFont="1" applyFill="1"/>
    <xf numFmtId="175" fontId="34" fillId="0" borderId="0" xfId="10" applyNumberFormat="1" applyFont="1" applyFill="1"/>
    <xf numFmtId="175" fontId="22" fillId="0" borderId="0" xfId="10" applyNumberFormat="1" applyFont="1" applyFill="1"/>
    <xf numFmtId="0" fontId="22" fillId="0" borderId="22" xfId="10" applyFont="1" applyBorder="1"/>
    <xf numFmtId="166" fontId="22" fillId="0" borderId="22" xfId="1" applyNumberFormat="1" applyFont="1" applyFill="1" applyBorder="1"/>
    <xf numFmtId="166" fontId="22" fillId="0" borderId="0" xfId="10" applyNumberFormat="1" applyFont="1" applyFill="1"/>
    <xf numFmtId="41" fontId="22" fillId="0" borderId="0" xfId="10" applyNumberFormat="1" applyFont="1" applyFill="1"/>
    <xf numFmtId="166" fontId="22" fillId="11" borderId="22" xfId="1" applyNumberFormat="1" applyFont="1" applyFill="1" applyBorder="1"/>
    <xf numFmtId="0" fontId="42" fillId="0" borderId="22" xfId="10" applyFont="1" applyBorder="1"/>
    <xf numFmtId="0" fontId="44" fillId="0" borderId="0" xfId="10" applyFont="1" applyFill="1"/>
    <xf numFmtId="166" fontId="42" fillId="0" borderId="22" xfId="10" applyNumberFormat="1" applyFont="1" applyBorder="1"/>
    <xf numFmtId="166" fontId="42" fillId="0" borderId="0" xfId="10" applyNumberFormat="1" applyFont="1" applyFill="1"/>
    <xf numFmtId="166" fontId="22" fillId="0" borderId="22" xfId="10" applyNumberFormat="1" applyFont="1" applyBorder="1"/>
    <xf numFmtId="165" fontId="22" fillId="0" borderId="22" xfId="1" applyNumberFormat="1" applyFont="1" applyFill="1" applyBorder="1"/>
    <xf numFmtId="0" fontId="42" fillId="0" borderId="22" xfId="10" applyFont="1" applyFill="1" applyBorder="1"/>
    <xf numFmtId="0" fontId="22" fillId="0" borderId="22" xfId="10" applyFont="1" applyFill="1" applyBorder="1"/>
    <xf numFmtId="0" fontId="22" fillId="0" borderId="24" xfId="10" applyFont="1" applyBorder="1"/>
    <xf numFmtId="0" fontId="37" fillId="0" borderId="0" xfId="11" applyFont="1" applyBorder="1" applyAlignment="1">
      <alignment horizontal="left"/>
    </xf>
    <xf numFmtId="171" fontId="22" fillId="11" borderId="0" xfId="4" applyNumberFormat="1" applyFont="1" applyFill="1" applyBorder="1"/>
    <xf numFmtId="171" fontId="22" fillId="11" borderId="0" xfId="4" applyNumberFormat="1" applyFont="1" applyFill="1" applyBorder="1" applyAlignment="1">
      <alignment horizontal="left"/>
    </xf>
    <xf numFmtId="170" fontId="22" fillId="0" borderId="0" xfId="4" applyNumberFormat="1" applyFont="1" applyFill="1"/>
    <xf numFmtId="0" fontId="4" fillId="0" borderId="0" xfId="10" applyFont="1" applyFill="1"/>
    <xf numFmtId="0" fontId="40" fillId="0" borderId="4" xfId="11" applyFont="1" applyFill="1" applyBorder="1"/>
    <xf numFmtId="175" fontId="34" fillId="0" borderId="4" xfId="10" applyNumberFormat="1" applyFont="1" applyFill="1" applyBorder="1"/>
    <xf numFmtId="175" fontId="34" fillId="0" borderId="25" xfId="10" applyNumberFormat="1" applyFont="1" applyFill="1" applyBorder="1"/>
    <xf numFmtId="0" fontId="40" fillId="0" borderId="26" xfId="11" applyFont="1" applyFill="1" applyBorder="1"/>
    <xf numFmtId="0" fontId="34" fillId="0" borderId="27" xfId="11" applyFont="1" applyFill="1" applyBorder="1" applyAlignment="1">
      <alignment wrapText="1"/>
    </xf>
    <xf numFmtId="0" fontId="34" fillId="0" borderId="5" xfId="11" applyFont="1" applyFill="1" applyBorder="1" applyAlignment="1">
      <alignment wrapText="1"/>
    </xf>
    <xf numFmtId="175" fontId="34" fillId="0" borderId="5" xfId="10" applyNumberFormat="1" applyFont="1" applyFill="1" applyBorder="1" applyAlignment="1">
      <alignment wrapText="1"/>
    </xf>
    <xf numFmtId="175" fontId="34" fillId="0" borderId="15" xfId="10" applyNumberFormat="1" applyFont="1" applyFill="1" applyBorder="1" applyAlignment="1">
      <alignment wrapText="1"/>
    </xf>
    <xf numFmtId="175" fontId="34" fillId="0" borderId="5" xfId="10" applyNumberFormat="1" applyFont="1" applyFill="1" applyBorder="1" applyAlignment="1">
      <alignment horizontal="right" wrapText="1"/>
    </xf>
    <xf numFmtId="175" fontId="34" fillId="0" borderId="15" xfId="10" applyNumberFormat="1" applyFont="1" applyFill="1" applyBorder="1" applyAlignment="1">
      <alignment horizontal="right" wrapText="1"/>
    </xf>
    <xf numFmtId="0" fontId="40" fillId="0" borderId="27" xfId="11" applyFont="1" applyFill="1" applyBorder="1"/>
    <xf numFmtId="0" fontId="40" fillId="0" borderId="5" xfId="11" applyFont="1" applyFill="1" applyBorder="1"/>
    <xf numFmtId="175" fontId="34" fillId="0" borderId="5" xfId="10" applyNumberFormat="1" applyFont="1" applyFill="1" applyBorder="1"/>
    <xf numFmtId="175" fontId="34" fillId="0" borderId="15" xfId="10" applyNumberFormat="1" applyFont="1" applyFill="1" applyBorder="1"/>
    <xf numFmtId="9" fontId="19" fillId="0" borderId="0" xfId="15" applyFont="1" applyFill="1" applyBorder="1" applyAlignment="1">
      <alignment wrapText="1"/>
    </xf>
    <xf numFmtId="9" fontId="19" fillId="0" borderId="0" xfId="17" applyFont="1" applyFill="1" applyBorder="1" applyAlignment="1">
      <alignment wrapText="1"/>
    </xf>
    <xf numFmtId="171" fontId="19" fillId="0" borderId="3" xfId="5" applyNumberFormat="1" applyFont="1" applyFill="1" applyBorder="1" applyAlignment="1">
      <alignment wrapText="1"/>
    </xf>
    <xf numFmtId="0" fontId="20" fillId="0" borderId="12" xfId="14" applyNumberFormat="1" applyFont="1" applyFill="1" applyBorder="1" applyAlignment="1">
      <alignment horizontal="right" wrapText="1"/>
    </xf>
    <xf numFmtId="175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Fill="1"/>
    <xf numFmtId="38" fontId="2" fillId="0" borderId="0" xfId="0" applyNumberFormat="1" applyFont="1" applyFill="1"/>
    <xf numFmtId="166" fontId="2" fillId="0" borderId="0" xfId="1" applyNumberFormat="1" applyFont="1" applyFill="1"/>
    <xf numFmtId="166" fontId="2" fillId="0" borderId="9" xfId="1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0" xfId="0" applyFont="1" applyFill="1"/>
    <xf numFmtId="0" fontId="2" fillId="0" borderId="9" xfId="0" applyFont="1" applyFill="1" applyBorder="1" applyAlignment="1">
      <alignment horizontal="center"/>
    </xf>
    <xf numFmtId="38" fontId="2" fillId="0" borderId="5" xfId="0" applyNumberFormat="1" applyFont="1" applyFill="1" applyBorder="1"/>
    <xf numFmtId="9" fontId="2" fillId="0" borderId="9" xfId="15" applyFont="1" applyFill="1" applyBorder="1" applyAlignment="1">
      <alignment horizontal="center"/>
    </xf>
    <xf numFmtId="166" fontId="2" fillId="0" borderId="5" xfId="1" applyNumberFormat="1" applyFont="1" applyFill="1" applyBorder="1"/>
    <xf numFmtId="38" fontId="2" fillId="0" borderId="9" xfId="0" applyNumberFormat="1" applyFont="1" applyFill="1" applyBorder="1" applyAlignment="1">
      <alignment horizontal="center"/>
    </xf>
    <xf numFmtId="175" fontId="2" fillId="11" borderId="5" xfId="0" applyNumberFormat="1" applyFont="1" applyFill="1" applyBorder="1"/>
    <xf numFmtId="175" fontId="34" fillId="11" borderId="5" xfId="10" applyNumberFormat="1" applyFont="1" applyFill="1" applyBorder="1" applyAlignment="1">
      <alignment wrapText="1"/>
    </xf>
    <xf numFmtId="175" fontId="4" fillId="9" borderId="7" xfId="0" applyNumberFormat="1" applyFont="1" applyFill="1" applyBorder="1"/>
    <xf numFmtId="17" fontId="2" fillId="9" borderId="7" xfId="0" applyNumberFormat="1" applyFont="1" applyFill="1" applyBorder="1" applyAlignment="1">
      <alignment horizontal="center"/>
    </xf>
    <xf numFmtId="17" fontId="3" fillId="9" borderId="7" xfId="0" applyNumberFormat="1" applyFont="1" applyFill="1" applyBorder="1" applyAlignment="1">
      <alignment horizontal="center"/>
    </xf>
    <xf numFmtId="0" fontId="2" fillId="0" borderId="0" xfId="10" applyFont="1"/>
    <xf numFmtId="175" fontId="2" fillId="0" borderId="0" xfId="10" applyNumberFormat="1" applyFont="1"/>
    <xf numFmtId="175" fontId="1" fillId="0" borderId="0" xfId="10" applyNumberFormat="1"/>
    <xf numFmtId="0" fontId="1" fillId="0" borderId="0" xfId="10"/>
    <xf numFmtId="171" fontId="0" fillId="0" borderId="5" xfId="4" applyNumberFormat="1" applyFont="1" applyBorder="1"/>
    <xf numFmtId="171" fontId="1" fillId="0" borderId="5" xfId="10" applyNumberFormat="1" applyBorder="1"/>
    <xf numFmtId="0" fontId="1" fillId="0" borderId="0" xfId="10" applyFont="1" applyAlignment="1">
      <alignment horizontal="left" indent="1"/>
    </xf>
    <xf numFmtId="0" fontId="2" fillId="0" borderId="0" xfId="10" applyFont="1" applyAlignment="1">
      <alignment horizontal="left"/>
    </xf>
    <xf numFmtId="171" fontId="1" fillId="0" borderId="0" xfId="10" applyNumberFormat="1"/>
    <xf numFmtId="0" fontId="1" fillId="0" borderId="0" xfId="10" applyFont="1"/>
    <xf numFmtId="9" fontId="1" fillId="0" borderId="0" xfId="10" applyNumberFormat="1"/>
    <xf numFmtId="0" fontId="1" fillId="0" borderId="0" xfId="10" applyFont="1" applyFill="1" applyAlignment="1">
      <alignment horizontal="left" indent="1"/>
    </xf>
    <xf numFmtId="0" fontId="1" fillId="0" borderId="0" xfId="10" applyFill="1"/>
    <xf numFmtId="0" fontId="1" fillId="11" borderId="0" xfId="10" applyFill="1"/>
    <xf numFmtId="171" fontId="1" fillId="11" borderId="0" xfId="10" applyNumberFormat="1" applyFill="1"/>
    <xf numFmtId="3" fontId="2" fillId="0" borderId="5" xfId="0" applyNumberFormat="1" applyFont="1" applyBorder="1"/>
    <xf numFmtId="9" fontId="0" fillId="0" borderId="1" xfId="0" applyNumberFormat="1" applyFill="1" applyBorder="1"/>
    <xf numFmtId="9" fontId="1" fillId="11" borderId="0" xfId="10" applyNumberFormat="1" applyFill="1"/>
    <xf numFmtId="175" fontId="2" fillId="0" borderId="5" xfId="0" applyNumberFormat="1" applyFont="1" applyFill="1" applyBorder="1"/>
    <xf numFmtId="38" fontId="4" fillId="12" borderId="7" xfId="0" applyNumberFormat="1" applyFont="1" applyFill="1" applyBorder="1"/>
    <xf numFmtId="17" fontId="3" fillId="12" borderId="7" xfId="0" applyNumberFormat="1" applyFont="1" applyFill="1" applyBorder="1"/>
    <xf numFmtId="38" fontId="33" fillId="12" borderId="28" xfId="0" applyNumberFormat="1" applyFont="1" applyFill="1" applyBorder="1"/>
    <xf numFmtId="17" fontId="33" fillId="12" borderId="28" xfId="0" applyNumberFormat="1" applyFont="1" applyFill="1" applyBorder="1"/>
    <xf numFmtId="17" fontId="3" fillId="12" borderId="28" xfId="0" applyNumberFormat="1" applyFont="1" applyFill="1" applyBorder="1"/>
    <xf numFmtId="38" fontId="4" fillId="12" borderId="28" xfId="0" applyNumberFormat="1" applyFont="1" applyFill="1" applyBorder="1"/>
    <xf numFmtId="38" fontId="4" fillId="12" borderId="0" xfId="0" applyNumberFormat="1" applyFont="1" applyFill="1" applyBorder="1"/>
    <xf numFmtId="17" fontId="3" fillId="12" borderId="0" xfId="0" applyNumberFormat="1" applyFont="1" applyFill="1" applyBorder="1"/>
    <xf numFmtId="38" fontId="4" fillId="12" borderId="3" xfId="0" applyNumberFormat="1" applyFont="1" applyFill="1" applyBorder="1"/>
    <xf numFmtId="17" fontId="3" fillId="12" borderId="3" xfId="0" applyNumberFormat="1" applyFont="1" applyFill="1" applyBorder="1"/>
    <xf numFmtId="38" fontId="2" fillId="12" borderId="3" xfId="0" applyNumberFormat="1" applyFont="1" applyFill="1" applyBorder="1"/>
    <xf numFmtId="38" fontId="2" fillId="12" borderId="7" xfId="0" applyNumberFormat="1" applyFont="1" applyFill="1" applyBorder="1"/>
    <xf numFmtId="17" fontId="2" fillId="12" borderId="7" xfId="0" applyNumberFormat="1" applyFont="1" applyFill="1" applyBorder="1" applyAlignment="1">
      <alignment horizontal="right"/>
    </xf>
    <xf numFmtId="38" fontId="2" fillId="12" borderId="7" xfId="0" applyNumberFormat="1" applyFont="1" applyFill="1" applyBorder="1" applyAlignment="1">
      <alignment horizontal="right"/>
    </xf>
    <xf numFmtId="0" fontId="1" fillId="2" borderId="0" xfId="0" applyFont="1" applyFill="1"/>
    <xf numFmtId="0" fontId="1" fillId="0" borderId="0" xfId="0" quotePrefix="1" applyNumberFormat="1" applyFont="1"/>
    <xf numFmtId="10" fontId="0" fillId="0" borderId="0" xfId="15" applyNumberFormat="1" applyFont="1"/>
    <xf numFmtId="0" fontId="20" fillId="0" borderId="0" xfId="13" applyNumberFormat="1" applyFont="1" applyFill="1" applyBorder="1" applyAlignment="1">
      <alignment wrapText="1"/>
    </xf>
    <xf numFmtId="173" fontId="20" fillId="0" borderId="0" xfId="13" applyNumberFormat="1" applyFont="1" applyFill="1" applyBorder="1" applyAlignment="1">
      <alignment wrapText="1"/>
    </xf>
    <xf numFmtId="0" fontId="34" fillId="0" borderId="1" xfId="11" applyFont="1" applyFill="1" applyBorder="1" applyAlignment="1">
      <alignment horizontal="center"/>
    </xf>
    <xf numFmtId="43" fontId="34" fillId="0" borderId="1" xfId="3" applyFont="1" applyBorder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urrency" xfId="4" builtinId="4"/>
    <cellStyle name="Currency 2" xfId="5" xr:uid="{00000000-0005-0000-0000-000004000000}"/>
    <cellStyle name="Currency 2 2" xfId="6" xr:uid="{00000000-0005-0000-0000-000005000000}"/>
    <cellStyle name="Hyperlink" xfId="7" builtinId="8"/>
    <cellStyle name="Normal" xfId="0" builtinId="0"/>
    <cellStyle name="Normal [2]" xfId="8" xr:uid="{00000000-0005-0000-0000-000008000000}"/>
    <cellStyle name="Normal 2" xfId="9" xr:uid="{00000000-0005-0000-0000-000009000000}"/>
    <cellStyle name="Normal 2 2" xfId="10" xr:uid="{00000000-0005-0000-0000-00000A000000}"/>
    <cellStyle name="Normal 3" xfId="11" xr:uid="{00000000-0005-0000-0000-00000B000000}"/>
    <cellStyle name="Normal Bold" xfId="12" xr:uid="{00000000-0005-0000-0000-00000C000000}"/>
    <cellStyle name="Normal_Vantage Financial220908" xfId="13" xr:uid="{00000000-0005-0000-0000-00000D000000}"/>
    <cellStyle name="Normal_Vantage Financial220908 2" xfId="14" xr:uid="{00000000-0005-0000-0000-00000E000000}"/>
    <cellStyle name="Percent" xfId="15" builtinId="5"/>
    <cellStyle name="Percent [2]" xfId="16" xr:uid="{00000000-0005-0000-0000-000010000000}"/>
    <cellStyle name="Percent 2" xfId="17" xr:uid="{00000000-0005-0000-0000-000011000000}"/>
    <cellStyle name="Percent 2 2" xfId="18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5-year financial projections</a:t>
            </a:r>
          </a:p>
        </c:rich>
      </c:tx>
      <c:layout>
        <c:manualLayout>
          <c:xMode val="edge"/>
          <c:yMode val="edge"/>
          <c:x val="0.36721763237977434"/>
          <c:y val="2.9598308668076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216066138263717E-2"/>
          <c:y val="0.16701902748414377"/>
          <c:w val="0.8729357385491151"/>
          <c:h val="0.600422832980972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Charts!$B$5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Charts!$C$4:$G$4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Charts!$C$5:$G$5</c:f>
              <c:numCache>
                <c:formatCode>_("$"* #,##0_);_("$"* \(#,##0\);_("$"* "-"??_);_(@_)</c:formatCode>
                <c:ptCount val="5"/>
                <c:pt idx="0">
                  <c:v>500000</c:v>
                </c:pt>
                <c:pt idx="1">
                  <c:v>1680000.0000000002</c:v>
                </c:pt>
                <c:pt idx="2">
                  <c:v>3198720.0000000005</c:v>
                </c:pt>
                <c:pt idx="3">
                  <c:v>10747699.200000005</c:v>
                </c:pt>
                <c:pt idx="4">
                  <c:v>36112269.312000021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F-43A0-B8BD-15048C21A386}"/>
            </c:ext>
          </c:extLst>
        </c:ser>
        <c:ser>
          <c:idx val="0"/>
          <c:order val="1"/>
          <c:tx>
            <c:strRef>
              <c:f>Charts!$B$6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Charts!$C$4:$G$4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Charts!$C$6:$G$6</c:f>
              <c:numCache>
                <c:formatCode>_("$"* #,##0_);_("$"* \(#,##0\);_("$"* "-"??_);_(@_)</c:formatCode>
                <c:ptCount val="5"/>
                <c:pt idx="0">
                  <c:v>-680121.55918367347</c:v>
                </c:pt>
                <c:pt idx="1">
                  <c:v>102617.10288387397</c:v>
                </c:pt>
                <c:pt idx="2">
                  <c:v>281292.06478829042</c:v>
                </c:pt>
                <c:pt idx="3">
                  <c:v>4550199.2872754512</c:v>
                </c:pt>
                <c:pt idx="4">
                  <c:v>20108066.910269797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F-43A0-B8BD-15048C21A386}"/>
            </c:ext>
          </c:extLst>
        </c:ser>
        <c:ser>
          <c:idx val="4"/>
          <c:order val="2"/>
          <c:tx>
            <c:strRef>
              <c:f>Charts!$B$7</c:f>
              <c:strCache>
                <c:ptCount val="1"/>
                <c:pt idx="0">
                  <c:v>Free cash flow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Charts!$C$4:$G$4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Charts!$C$7:$G$7</c:f>
              <c:numCache>
                <c:formatCode>_("$"* #,##0_);_("$"* \(#,##0\);_("$"* "-"??_);_(@_)</c:formatCode>
                <c:ptCount val="5"/>
                <c:pt idx="0">
                  <c:v>-779418</c:v>
                </c:pt>
                <c:pt idx="1">
                  <c:v>-15782.100961291384</c:v>
                </c:pt>
                <c:pt idx="2">
                  <c:v>221301.11726640351</c:v>
                </c:pt>
                <c:pt idx="3">
                  <c:v>4557880.6463129269</c:v>
                </c:pt>
                <c:pt idx="4">
                  <c:v>19785610.707520615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F-43A0-B8BD-15048C21A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570424"/>
        <c:axId val="558995824"/>
      </c:barChart>
      <c:catAx>
        <c:axId val="513570424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995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8995824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57042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2261792123590454E-2"/>
                <c:y val="6.765327695560254E-2"/>
              </c:manualLayout>
            </c:layout>
            <c:tx>
              <c:rich>
                <a:bodyPr rot="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81137747582254"/>
          <c:y val="0.90909090909090906"/>
          <c:w val="0.57209884520589682"/>
          <c:h val="5.9196617336152224E-2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Uses of funds</a:t>
            </a:r>
          </a:p>
        </c:rich>
      </c:tx>
      <c:layout>
        <c:manualLayout>
          <c:xMode val="edge"/>
          <c:yMode val="edge"/>
          <c:x val="0.38966202159703678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30616302186878"/>
          <c:y val="0.1797752808988764"/>
          <c:w val="0.41948310139165013"/>
          <c:h val="0.59269662921348309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7C-4FCD-9825-B198279D86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27C-4FCD-9825-B198279D869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27C-4FCD-9825-B198279D869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27C-4FCD-9825-B198279D869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27C-4FCD-9825-B198279D869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27C-4FCD-9825-B198279D8694}"/>
              </c:ext>
            </c:extLst>
          </c:dPt>
          <c:dLbls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Charts!$B$42:$B$47</c:f>
              <c:strCache>
                <c:ptCount val="6"/>
                <c:pt idx="0">
                  <c:v>Manpower</c:v>
                </c:pt>
                <c:pt idx="1">
                  <c:v>Infrastructure</c:v>
                </c:pt>
                <c:pt idx="2">
                  <c:v>Professional services</c:v>
                </c:pt>
                <c:pt idx="3">
                  <c:v>Marketing and BizDev</c:v>
                </c:pt>
                <c:pt idx="4">
                  <c:v>R&amp;D</c:v>
                </c:pt>
                <c:pt idx="5">
                  <c:v>Other SG&amp;A</c:v>
                </c:pt>
              </c:strCache>
            </c:strRef>
          </c:cat>
          <c:val>
            <c:numRef>
              <c:f>Charts!$C$42:$C$47</c:f>
              <c:numCache>
                <c:formatCode>_("$"* #,##0_);_("$"* \(#,##0\);_("$"* "-"??_);_(@_)</c:formatCode>
                <c:ptCount val="6"/>
                <c:pt idx="0">
                  <c:v>830400</c:v>
                </c:pt>
                <c:pt idx="1">
                  <c:v>47558</c:v>
                </c:pt>
                <c:pt idx="2">
                  <c:v>37700</c:v>
                </c:pt>
                <c:pt idx="3">
                  <c:v>52000</c:v>
                </c:pt>
                <c:pt idx="4">
                  <c:v>80000</c:v>
                </c:pt>
                <c:pt idx="5">
                  <c:v>111760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27C-4FCD-9825-B198279D8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209138840070298E-2"/>
          <c:y val="0.8342696629213483"/>
          <c:w val="0.89455184534270649"/>
          <c:h val="7.8651685393258397E-2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breakdown</a:t>
            </a:r>
          </a:p>
        </c:rich>
      </c:tx>
      <c:layout>
        <c:manualLayout>
          <c:xMode val="edge"/>
          <c:yMode val="edge"/>
          <c:x val="0.39593895025416909"/>
          <c:y val="2.95358649789029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1015228426396E-2"/>
          <c:y val="0.16666701004378059"/>
          <c:w val="0.87309644670050757"/>
          <c:h val="0.601267061550347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Charts!$B$74</c:f>
              <c:strCache>
                <c:ptCount val="1"/>
                <c:pt idx="0">
                  <c:v>Revenue Stream 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Charts!$C$73:$G$73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Charts!$C$74:$G$74</c:f>
              <c:numCache>
                <c:formatCode>#,##0</c:formatCode>
                <c:ptCount val="5"/>
                <c:pt idx="0">
                  <c:v>2676900</c:v>
                </c:pt>
                <c:pt idx="1">
                  <c:v>8412200</c:v>
                </c:pt>
                <c:pt idx="2">
                  <c:v>18506840.000000004</c:v>
                </c:pt>
                <c:pt idx="3">
                  <c:v>34607815.000000007</c:v>
                </c:pt>
                <c:pt idx="4">
                  <c:v>60909754.400000021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1-4E65-8DF2-09DD5D777DE7}"/>
            </c:ext>
          </c:extLst>
        </c:ser>
        <c:ser>
          <c:idx val="0"/>
          <c:order val="1"/>
          <c:tx>
            <c:strRef>
              <c:f>Charts!$B$75</c:f>
              <c:strCache>
                <c:ptCount val="1"/>
                <c:pt idx="0">
                  <c:v>Revenue Stream 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Charts!$C$73:$G$73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Charts!$C$75:$G$75</c:f>
              <c:numCache>
                <c:formatCode>#,##0</c:formatCode>
                <c:ptCount val="5"/>
                <c:pt idx="0">
                  <c:v>803070</c:v>
                </c:pt>
                <c:pt idx="1">
                  <c:v>2523660</c:v>
                </c:pt>
                <c:pt idx="2">
                  <c:v>4996860</c:v>
                </c:pt>
                <c:pt idx="3">
                  <c:v>9344128.2000000011</c:v>
                </c:pt>
                <c:pt idx="4">
                  <c:v>16445689.590000004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1-4E65-8DF2-09DD5D777DE7}"/>
            </c:ext>
          </c:extLst>
        </c:ser>
        <c:ser>
          <c:idx val="4"/>
          <c:order val="2"/>
          <c:tx>
            <c:strRef>
              <c:f>Charts!$B$76</c:f>
              <c:strCache>
                <c:ptCount val="1"/>
                <c:pt idx="0">
                  <c:v>Revenue Stream 3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Charts!$C$73:$G$73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Charts!$C$76:$G$76</c:f>
              <c:numCache>
                <c:formatCode>#,##0</c:formatCode>
                <c:ptCount val="5"/>
                <c:pt idx="0">
                  <c:v>171290</c:v>
                </c:pt>
                <c:pt idx="1">
                  <c:v>538340</c:v>
                </c:pt>
                <c:pt idx="2">
                  <c:v>1065922</c:v>
                </c:pt>
                <c:pt idx="3">
                  <c:v>1993281.4000000001</c:v>
                </c:pt>
                <c:pt idx="4">
                  <c:v>3508183.2500000005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1-4E65-8DF2-09DD5D777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017584"/>
        <c:axId val="562546040"/>
      </c:barChart>
      <c:catAx>
        <c:axId val="5120175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2546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2546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0175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6.2182741116751268E-2"/>
                <c:y val="6.7510687612670622E-2"/>
              </c:manualLayout>
            </c:layout>
            <c:tx>
              <c:rich>
                <a:bodyPr rot="0" vert="horz"/>
                <a:lstStyle/>
                <a:p>
                  <a:pPr algn="ctr"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121779859484777"/>
          <c:y val="0.90717476771099803"/>
          <c:w val="0.5714285714285714"/>
          <c:h val="5.9071951449106819E-2"/>
        </c:manualLayout>
      </c:layout>
      <c:overlay val="0"/>
      <c:spPr>
        <a:solidFill>
          <a:srgbClr val="C0C0C0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Cumulative cash flows until breakeven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'Business model charts'!$C$3</c:f>
              <c:numCache>
                <c:formatCode>mmm\-yy</c:formatCode>
                <c:ptCount val="1"/>
                <c:pt idx="0">
                  <c:v>40178</c:v>
                </c:pt>
              </c:numCache>
            </c:numRef>
          </c:cat>
          <c:val>
            <c:numRef>
              <c:f>'Business model charts'!$C$5</c:f>
              <c:numCache>
                <c:formatCode>#,##0_);[Red]\(#,##0\)</c:formatCode>
                <c:ptCount val="1"/>
                <c:pt idx="0">
                  <c:v>-779418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5-46E8-A66E-5E8B8CEC4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545256"/>
        <c:axId val="562541728"/>
      </c:lineChart>
      <c:dateAx>
        <c:axId val="5625452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541728"/>
        <c:crosses val="autoZero"/>
        <c:auto val="1"/>
        <c:lblOffset val="100"/>
        <c:baseTimeUnit val="days"/>
      </c:dateAx>
      <c:valAx>
        <c:axId val="5625417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545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786912897149115"/>
          <c:y val="0.5355824903909483"/>
          <c:w val="0.11861877625657158"/>
          <c:h val="8.988803365871400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All cumulative cash flows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'Business model charts'!$C$3:$G$3</c:f>
              <c:numCache>
                <c:formatCode>mmm\-yy</c:formatCode>
                <c:ptCount val="5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41273</c:v>
                </c:pt>
                <c:pt idx="4">
                  <c:v>41638</c:v>
                </c:pt>
              </c:numCache>
            </c:numRef>
          </c:cat>
          <c:val>
            <c:numRef>
              <c:f>'Business model charts'!$C$5:$G$5</c:f>
              <c:numCache>
                <c:formatCode>#,##0_);[Red]\(#,##0\)</c:formatCode>
                <c:ptCount val="5"/>
                <c:pt idx="0">
                  <c:v>-779418</c:v>
                </c:pt>
                <c:pt idx="1">
                  <c:v>-795200.10096129135</c:v>
                </c:pt>
                <c:pt idx="2">
                  <c:v>-573898.98369488784</c:v>
                </c:pt>
                <c:pt idx="3">
                  <c:v>3983981.6626180392</c:v>
                </c:pt>
                <c:pt idx="4">
                  <c:v>23769592.370138653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4-4B88-988D-FBC86F8D3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544472"/>
        <c:axId val="562549176"/>
      </c:lineChart>
      <c:dateAx>
        <c:axId val="5625444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549176"/>
        <c:crosses val="autoZero"/>
        <c:auto val="1"/>
        <c:lblOffset val="100"/>
        <c:baseTimeUnit val="years"/>
      </c:dateAx>
      <c:valAx>
        <c:axId val="5625491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2544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387513497749714"/>
          <c:y val="0.53932780874300823"/>
          <c:w val="0.11261277025056549"/>
          <c:h val="8.239739695459413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3</xdr:row>
      <xdr:rowOff>76200</xdr:rowOff>
    </xdr:from>
    <xdr:to>
      <xdr:col>12</xdr:col>
      <xdr:colOff>600075</xdr:colOff>
      <xdr:row>6</xdr:row>
      <xdr:rowOff>95250</xdr:rowOff>
    </xdr:to>
    <xdr:pic>
      <xdr:nvPicPr>
        <xdr:cNvPr id="203825" name="Picture 1" descr="expara_logo_new">
          <a:extLst>
            <a:ext uri="{FF2B5EF4-FFF2-40B4-BE49-F238E27FC236}">
              <a16:creationId xmlns:a16="http://schemas.microsoft.com/office/drawing/2014/main" id="{00000000-0008-0000-0000-0000311C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628650"/>
          <a:ext cx="5715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9</xdr:col>
      <xdr:colOff>266700</xdr:colOff>
      <xdr:row>39</xdr:row>
      <xdr:rowOff>0</xdr:rowOff>
    </xdr:to>
    <xdr:graphicFrame macro="">
      <xdr:nvGraphicFramePr>
        <xdr:cNvPr id="206993" name="Chart 1">
          <a:extLst>
            <a:ext uri="{FF2B5EF4-FFF2-40B4-BE49-F238E27FC236}">
              <a16:creationId xmlns:a16="http://schemas.microsoft.com/office/drawing/2014/main" id="{00000000-0008-0000-0C00-000091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49</xdr:row>
      <xdr:rowOff>104775</xdr:rowOff>
    </xdr:from>
    <xdr:to>
      <xdr:col>5</xdr:col>
      <xdr:colOff>533400</xdr:colOff>
      <xdr:row>70</xdr:row>
      <xdr:rowOff>95250</xdr:rowOff>
    </xdr:to>
    <xdr:graphicFrame macro="">
      <xdr:nvGraphicFramePr>
        <xdr:cNvPr id="206994" name="Chart 2">
          <a:extLst>
            <a:ext uri="{FF2B5EF4-FFF2-40B4-BE49-F238E27FC236}">
              <a16:creationId xmlns:a16="http://schemas.microsoft.com/office/drawing/2014/main" id="{00000000-0008-0000-0C00-000092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9</xdr:col>
      <xdr:colOff>276225</xdr:colOff>
      <xdr:row>104</xdr:row>
      <xdr:rowOff>142875</xdr:rowOff>
    </xdr:to>
    <xdr:graphicFrame macro="">
      <xdr:nvGraphicFramePr>
        <xdr:cNvPr id="206995" name="Chart 3">
          <a:extLst>
            <a:ext uri="{FF2B5EF4-FFF2-40B4-BE49-F238E27FC236}">
              <a16:creationId xmlns:a16="http://schemas.microsoft.com/office/drawing/2014/main" id="{00000000-0008-0000-0C00-0000932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634365</xdr:colOff>
      <xdr:row>56</xdr:row>
      <xdr:rowOff>112395</xdr:rowOff>
    </xdr:from>
    <xdr:to>
      <xdr:col>2</xdr:col>
      <xdr:colOff>238144</xdr:colOff>
      <xdr:row>61</xdr:row>
      <xdr:rowOff>28620</xdr:rowOff>
    </xdr:to>
    <xdr:sp macro="" textlink="">
      <xdr:nvSpPr>
        <xdr:cNvPr id="41" name="Rounded Rectangle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/>
      </xdr:nvSpPr>
      <xdr:spPr>
        <a:xfrm>
          <a:off x="1247775" y="9182100"/>
          <a:ext cx="914400" cy="7239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Total Revenue</a:t>
          </a:r>
        </a:p>
      </xdr:txBody>
    </xdr:sp>
    <xdr:clientData/>
  </xdr:twoCellAnchor>
  <xdr:twoCellAnchor>
    <xdr:from>
      <xdr:col>3</xdr:col>
      <xdr:colOff>379095</xdr:colOff>
      <xdr:row>50</xdr:row>
      <xdr:rowOff>0</xdr:rowOff>
    </xdr:from>
    <xdr:to>
      <xdr:col>4</xdr:col>
      <xdr:colOff>588645</xdr:colOff>
      <xdr:row>54</xdr:row>
      <xdr:rowOff>9525</xdr:rowOff>
    </xdr:to>
    <xdr:sp macro="" textlink="">
      <xdr:nvSpPr>
        <xdr:cNvPr id="42" name="Rounded Rectangle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SpPr/>
      </xdr:nvSpPr>
      <xdr:spPr>
        <a:xfrm>
          <a:off x="2914650" y="8096250"/>
          <a:ext cx="914400" cy="6572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Revenue Stream 1</a:t>
          </a:r>
        </a:p>
      </xdr:txBody>
    </xdr:sp>
    <xdr:clientData/>
  </xdr:twoCellAnchor>
  <xdr:twoCellAnchor>
    <xdr:from>
      <xdr:col>3</xdr:col>
      <xdr:colOff>360045</xdr:colOff>
      <xdr:row>56</xdr:row>
      <xdr:rowOff>95250</xdr:rowOff>
    </xdr:from>
    <xdr:to>
      <xdr:col>4</xdr:col>
      <xdr:colOff>588645</xdr:colOff>
      <xdr:row>61</xdr:row>
      <xdr:rowOff>28575</xdr:rowOff>
    </xdr:to>
    <xdr:sp macro="" textlink="">
      <xdr:nvSpPr>
        <xdr:cNvPr id="43" name="Rounded Rectangle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/>
      </xdr:nvSpPr>
      <xdr:spPr>
        <a:xfrm>
          <a:off x="2895600" y="9163050"/>
          <a:ext cx="933450" cy="7429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Revenue Stream 2</a:t>
          </a:r>
        </a:p>
      </xdr:txBody>
    </xdr:sp>
    <xdr:clientData/>
  </xdr:twoCellAnchor>
  <xdr:twoCellAnchor>
    <xdr:from>
      <xdr:col>3</xdr:col>
      <xdr:colOff>369570</xdr:colOff>
      <xdr:row>63</xdr:row>
      <xdr:rowOff>133350</xdr:rowOff>
    </xdr:from>
    <xdr:to>
      <xdr:col>4</xdr:col>
      <xdr:colOff>586771</xdr:colOff>
      <xdr:row>68</xdr:row>
      <xdr:rowOff>19050</xdr:rowOff>
    </xdr:to>
    <xdr:sp macro="" textlink="">
      <xdr:nvSpPr>
        <xdr:cNvPr id="44" name="Rounded Rectangle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/>
      </xdr:nvSpPr>
      <xdr:spPr>
        <a:xfrm>
          <a:off x="2905125" y="10334625"/>
          <a:ext cx="914400" cy="6953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Revenue Stream 3</a:t>
          </a:r>
        </a:p>
      </xdr:txBody>
    </xdr:sp>
    <xdr:clientData/>
  </xdr:twoCellAnchor>
  <xdr:twoCellAnchor>
    <xdr:from>
      <xdr:col>2</xdr:col>
      <xdr:colOff>238125</xdr:colOff>
      <xdr:row>52</xdr:row>
      <xdr:rowOff>4763</xdr:rowOff>
    </xdr:from>
    <xdr:to>
      <xdr:col>3</xdr:col>
      <xdr:colOff>379100</xdr:colOff>
      <xdr:row>58</xdr:row>
      <xdr:rowOff>150490</xdr:rowOff>
    </xdr:to>
    <xdr:cxnSp macro="">
      <xdr:nvCxnSpPr>
        <xdr:cNvPr id="46" name="Elbow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>
          <a:stCxn id="41" idx="3"/>
          <a:endCxn id="42" idx="1"/>
        </xdr:cNvCxnSpPr>
      </xdr:nvCxnSpPr>
      <xdr:spPr>
        <a:xfrm flipV="1">
          <a:off x="2162175" y="8424863"/>
          <a:ext cx="752475" cy="111918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59</xdr:row>
      <xdr:rowOff>0</xdr:rowOff>
    </xdr:from>
    <xdr:to>
      <xdr:col>3</xdr:col>
      <xdr:colOff>359812</xdr:colOff>
      <xdr:row>59</xdr:row>
      <xdr:rowOff>1588</xdr:rowOff>
    </xdr:to>
    <xdr:cxnSp macro="">
      <xdr:nvCxnSpPr>
        <xdr:cNvPr id="48" name="Shape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>
          <a:off x="2524125" y="9553575"/>
          <a:ext cx="371475" cy="1588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</xdr:colOff>
      <xdr:row>59</xdr:row>
      <xdr:rowOff>3</xdr:rowOff>
    </xdr:from>
    <xdr:to>
      <xdr:col>3</xdr:col>
      <xdr:colOff>369580</xdr:colOff>
      <xdr:row>66</xdr:row>
      <xdr:rowOff>2839</xdr:rowOff>
    </xdr:to>
    <xdr:cxnSp macro="">
      <xdr:nvCxnSpPr>
        <xdr:cNvPr id="50" name="Shape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>
          <a:endCxn id="44" idx="1"/>
        </xdr:cNvCxnSpPr>
      </xdr:nvCxnSpPr>
      <xdr:spPr>
        <a:xfrm rot="16200000" flipH="1">
          <a:off x="2155034" y="9932197"/>
          <a:ext cx="1128710" cy="371472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558165</xdr:colOff>
      <xdr:row>48</xdr:row>
      <xdr:rowOff>142875</xdr:rowOff>
    </xdr:from>
    <xdr:to>
      <xdr:col>6</xdr:col>
      <xdr:colOff>765906</xdr:colOff>
      <xdr:row>51</xdr:row>
      <xdr:rowOff>28575</xdr:rowOff>
    </xdr:to>
    <xdr:sp macro="" textlink="">
      <xdr:nvSpPr>
        <xdr:cNvPr id="19" name="Rounded Rectangle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4514850" y="7915275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price/unit</a:t>
          </a:r>
        </a:p>
      </xdr:txBody>
    </xdr:sp>
    <xdr:clientData/>
  </xdr:twoCellAnchor>
  <xdr:twoCellAnchor>
    <xdr:from>
      <xdr:col>5</xdr:col>
      <xdr:colOff>567690</xdr:colOff>
      <xdr:row>52</xdr:row>
      <xdr:rowOff>133350</xdr:rowOff>
    </xdr:from>
    <xdr:to>
      <xdr:col>7</xdr:col>
      <xdr:colOff>81</xdr:colOff>
      <xdr:row>55</xdr:row>
      <xdr:rowOff>19050</xdr:rowOff>
    </xdr:to>
    <xdr:sp macro="" textlink="">
      <xdr:nvSpPr>
        <xdr:cNvPr id="20" name="Rounded Rectangle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4524375" y="8553450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no of units</a:t>
          </a:r>
        </a:p>
      </xdr:txBody>
    </xdr:sp>
    <xdr:clientData/>
  </xdr:twoCellAnchor>
  <xdr:twoCellAnchor>
    <xdr:from>
      <xdr:col>5</xdr:col>
      <xdr:colOff>558165</xdr:colOff>
      <xdr:row>55</xdr:row>
      <xdr:rowOff>150495</xdr:rowOff>
    </xdr:from>
    <xdr:to>
      <xdr:col>6</xdr:col>
      <xdr:colOff>765906</xdr:colOff>
      <xdr:row>58</xdr:row>
      <xdr:rowOff>38150</xdr:rowOff>
    </xdr:to>
    <xdr:sp macro="" textlink="">
      <xdr:nvSpPr>
        <xdr:cNvPr id="21" name="Rounded Rectangle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4514850" y="9058275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price/unit</a:t>
          </a:r>
        </a:p>
      </xdr:txBody>
    </xdr:sp>
    <xdr:clientData/>
  </xdr:twoCellAnchor>
  <xdr:twoCellAnchor>
    <xdr:from>
      <xdr:col>5</xdr:col>
      <xdr:colOff>586740</xdr:colOff>
      <xdr:row>66</xdr:row>
      <xdr:rowOff>142875</xdr:rowOff>
    </xdr:from>
    <xdr:to>
      <xdr:col>7</xdr:col>
      <xdr:colOff>9465</xdr:colOff>
      <xdr:row>69</xdr:row>
      <xdr:rowOff>28575</xdr:rowOff>
    </xdr:to>
    <xdr:sp macro="" textlink="">
      <xdr:nvSpPr>
        <xdr:cNvPr id="22" name="Rounded Rectangle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4533900" y="10829925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no of units</a:t>
          </a:r>
        </a:p>
      </xdr:txBody>
    </xdr:sp>
    <xdr:clientData/>
  </xdr:twoCellAnchor>
  <xdr:twoCellAnchor>
    <xdr:from>
      <xdr:col>5</xdr:col>
      <xdr:colOff>567690</xdr:colOff>
      <xdr:row>62</xdr:row>
      <xdr:rowOff>150495</xdr:rowOff>
    </xdr:from>
    <xdr:to>
      <xdr:col>7</xdr:col>
      <xdr:colOff>81</xdr:colOff>
      <xdr:row>65</xdr:row>
      <xdr:rowOff>38150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4524375" y="10191750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price/unit</a:t>
          </a:r>
        </a:p>
      </xdr:txBody>
    </xdr:sp>
    <xdr:clientData/>
  </xdr:twoCellAnchor>
  <xdr:twoCellAnchor>
    <xdr:from>
      <xdr:col>5</xdr:col>
      <xdr:colOff>558165</xdr:colOff>
      <xdr:row>59</xdr:row>
      <xdr:rowOff>121920</xdr:rowOff>
    </xdr:from>
    <xdr:to>
      <xdr:col>6</xdr:col>
      <xdr:colOff>765906</xdr:colOff>
      <xdr:row>62</xdr:row>
      <xdr:rowOff>9575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4514850" y="9677400"/>
          <a:ext cx="914400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no of </a:t>
          </a:r>
          <a:r>
            <a:rPr lang="en-US" sz="1100" b="1" baseline="0"/>
            <a:t>units</a:t>
          </a:r>
          <a:endParaRPr lang="en-US" sz="1100" b="1"/>
        </a:p>
      </xdr:txBody>
    </xdr:sp>
    <xdr:clientData/>
  </xdr:twoCellAnchor>
  <xdr:twoCellAnchor>
    <xdr:from>
      <xdr:col>4</xdr:col>
      <xdr:colOff>588645</xdr:colOff>
      <xdr:row>50</xdr:row>
      <xdr:rowOff>4763</xdr:rowOff>
    </xdr:from>
    <xdr:to>
      <xdr:col>5</xdr:col>
      <xdr:colOff>558212</xdr:colOff>
      <xdr:row>52</xdr:row>
      <xdr:rowOff>4763</xdr:rowOff>
    </xdr:to>
    <xdr:cxnSp macro="">
      <xdr:nvCxnSpPr>
        <xdr:cNvPr id="28" name="Elbow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>
          <a:stCxn id="42" idx="3"/>
          <a:endCxn id="19" idx="1"/>
        </xdr:cNvCxnSpPr>
      </xdr:nvCxnSpPr>
      <xdr:spPr>
        <a:xfrm flipV="1">
          <a:off x="3829050" y="8101013"/>
          <a:ext cx="685800" cy="32385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52</xdr:row>
      <xdr:rowOff>0</xdr:rowOff>
    </xdr:from>
    <xdr:to>
      <xdr:col>5</xdr:col>
      <xdr:colOff>567964</xdr:colOff>
      <xdr:row>54</xdr:row>
      <xdr:rowOff>2792</xdr:rowOff>
    </xdr:to>
    <xdr:cxnSp macro="">
      <xdr:nvCxnSpPr>
        <xdr:cNvPr id="30" name="Elbow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>
          <a:endCxn id="20" idx="1"/>
        </xdr:cNvCxnSpPr>
      </xdr:nvCxnSpPr>
      <xdr:spPr>
        <a:xfrm>
          <a:off x="4171950" y="8420100"/>
          <a:ext cx="352425" cy="319088"/>
        </a:xfrm>
        <a:prstGeom prst="bentConnector3">
          <a:avLst>
            <a:gd name="adj1" fmla="val 135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588645</xdr:colOff>
      <xdr:row>57</xdr:row>
      <xdr:rowOff>14288</xdr:rowOff>
    </xdr:from>
    <xdr:to>
      <xdr:col>5</xdr:col>
      <xdr:colOff>558212</xdr:colOff>
      <xdr:row>58</xdr:row>
      <xdr:rowOff>142875</xdr:rowOff>
    </xdr:to>
    <xdr:cxnSp macro="">
      <xdr:nvCxnSpPr>
        <xdr:cNvPr id="34" name="Elbow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>
          <a:stCxn id="43" idx="3"/>
          <a:endCxn id="21" idx="1"/>
        </xdr:cNvCxnSpPr>
      </xdr:nvCxnSpPr>
      <xdr:spPr>
        <a:xfrm flipV="1">
          <a:off x="3829050" y="9244013"/>
          <a:ext cx="685800" cy="290512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198120</xdr:colOff>
      <xdr:row>58</xdr:row>
      <xdr:rowOff>142875</xdr:rowOff>
    </xdr:from>
    <xdr:to>
      <xdr:col>5</xdr:col>
      <xdr:colOff>550545</xdr:colOff>
      <xdr:row>60</xdr:row>
      <xdr:rowOff>145590</xdr:rowOff>
    </xdr:to>
    <xdr:cxnSp macro="">
      <xdr:nvCxnSpPr>
        <xdr:cNvPr id="36" name="Elbow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>
          <a:off x="4152900" y="9534525"/>
          <a:ext cx="352425" cy="328613"/>
        </a:xfrm>
        <a:prstGeom prst="bentConnector3">
          <a:avLst>
            <a:gd name="adj1" fmla="val 405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64</xdr:row>
      <xdr:rowOff>14288</xdr:rowOff>
    </xdr:from>
    <xdr:to>
      <xdr:col>5</xdr:col>
      <xdr:colOff>567817</xdr:colOff>
      <xdr:row>66</xdr:row>
      <xdr:rowOff>3001</xdr:rowOff>
    </xdr:to>
    <xdr:cxnSp macro="">
      <xdr:nvCxnSpPr>
        <xdr:cNvPr id="57" name="Elbow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>
          <a:stCxn id="44" idx="3"/>
          <a:endCxn id="23" idx="1"/>
        </xdr:cNvCxnSpPr>
      </xdr:nvCxnSpPr>
      <xdr:spPr>
        <a:xfrm flipV="1">
          <a:off x="3819525" y="10377488"/>
          <a:ext cx="704850" cy="304800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65</xdr:row>
      <xdr:rowOff>76200</xdr:rowOff>
    </xdr:from>
    <xdr:to>
      <xdr:col>5</xdr:col>
      <xdr:colOff>586751</xdr:colOff>
      <xdr:row>68</xdr:row>
      <xdr:rowOff>4763</xdr:rowOff>
    </xdr:to>
    <xdr:cxnSp macro="">
      <xdr:nvCxnSpPr>
        <xdr:cNvPr id="59" name="Elbow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>
          <a:endCxn id="22" idx="1"/>
        </xdr:cNvCxnSpPr>
      </xdr:nvCxnSpPr>
      <xdr:spPr>
        <a:xfrm rot="16200000" flipH="1">
          <a:off x="4145756" y="10627519"/>
          <a:ext cx="414338" cy="36195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11</xdr:row>
      <xdr:rowOff>123825</xdr:rowOff>
    </xdr:from>
    <xdr:to>
      <xdr:col>9</xdr:col>
      <xdr:colOff>323850</xdr:colOff>
      <xdr:row>27</xdr:row>
      <xdr:rowOff>76200</xdr:rowOff>
    </xdr:to>
    <xdr:graphicFrame macro="">
      <xdr:nvGraphicFramePr>
        <xdr:cNvPr id="456769" name="Chart 87">
          <a:extLst>
            <a:ext uri="{FF2B5EF4-FFF2-40B4-BE49-F238E27FC236}">
              <a16:creationId xmlns:a16="http://schemas.microsoft.com/office/drawing/2014/main" id="{00000000-0008-0000-0E00-000041F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31</xdr:row>
      <xdr:rowOff>57150</xdr:rowOff>
    </xdr:from>
    <xdr:to>
      <xdr:col>9</xdr:col>
      <xdr:colOff>323850</xdr:colOff>
      <xdr:row>47</xdr:row>
      <xdr:rowOff>9525</xdr:rowOff>
    </xdr:to>
    <xdr:graphicFrame macro="">
      <xdr:nvGraphicFramePr>
        <xdr:cNvPr id="456770" name="Chart 88">
          <a:extLst>
            <a:ext uri="{FF2B5EF4-FFF2-40B4-BE49-F238E27FC236}">
              <a16:creationId xmlns:a16="http://schemas.microsoft.com/office/drawing/2014/main" id="{00000000-0008-0000-0E00-000042F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701040</xdr:colOff>
      <xdr:row>78</xdr:row>
      <xdr:rowOff>142875</xdr:rowOff>
    </xdr:from>
    <xdr:to>
      <xdr:col>2</xdr:col>
      <xdr:colOff>304819</xdr:colOff>
      <xdr:row>83</xdr:row>
      <xdr:rowOff>19050</xdr:rowOff>
    </xdr:to>
    <xdr:sp macro="" textlink="">
      <xdr:nvSpPr>
        <xdr:cNvPr id="90" name="Rounded Rectangle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SpPr/>
      </xdr:nvSpPr>
      <xdr:spPr>
        <a:xfrm>
          <a:off x="1314450" y="12773025"/>
          <a:ext cx="914400" cy="6858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Total</a:t>
          </a:r>
          <a:r>
            <a:rPr lang="en-US" sz="1100" b="1" baseline="0"/>
            <a:t> Cost</a:t>
          </a:r>
          <a:endParaRPr lang="en-US" sz="1100" b="1"/>
        </a:p>
      </xdr:txBody>
    </xdr:sp>
    <xdr:clientData/>
  </xdr:twoCellAnchor>
  <xdr:twoCellAnchor>
    <xdr:from>
      <xdr:col>3</xdr:col>
      <xdr:colOff>321945</xdr:colOff>
      <xdr:row>71</xdr:row>
      <xdr:rowOff>142875</xdr:rowOff>
    </xdr:from>
    <xdr:to>
      <xdr:col>4</xdr:col>
      <xdr:colOff>529640</xdr:colOff>
      <xdr:row>76</xdr:row>
      <xdr:rowOff>19050</xdr:rowOff>
    </xdr:to>
    <xdr:sp macro="" textlink="">
      <xdr:nvSpPr>
        <xdr:cNvPr id="95" name="Rounded Rectangle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SpPr/>
      </xdr:nvSpPr>
      <xdr:spPr>
        <a:xfrm>
          <a:off x="2857500" y="11639550"/>
          <a:ext cx="914400" cy="6858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COGS</a:t>
          </a:r>
        </a:p>
      </xdr:txBody>
    </xdr:sp>
    <xdr:clientData/>
  </xdr:twoCellAnchor>
  <xdr:twoCellAnchor>
    <xdr:from>
      <xdr:col>3</xdr:col>
      <xdr:colOff>302895</xdr:colOff>
      <xdr:row>78</xdr:row>
      <xdr:rowOff>142875</xdr:rowOff>
    </xdr:from>
    <xdr:to>
      <xdr:col>4</xdr:col>
      <xdr:colOff>512445</xdr:colOff>
      <xdr:row>83</xdr:row>
      <xdr:rowOff>19050</xdr:rowOff>
    </xdr:to>
    <xdr:sp macro="" textlink="">
      <xdr:nvSpPr>
        <xdr:cNvPr id="96" name="Rounded Rectangle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SpPr/>
      </xdr:nvSpPr>
      <xdr:spPr>
        <a:xfrm>
          <a:off x="2838450" y="12773025"/>
          <a:ext cx="914400" cy="6858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SG&amp;A</a:t>
          </a:r>
        </a:p>
      </xdr:txBody>
    </xdr:sp>
    <xdr:clientData/>
  </xdr:twoCellAnchor>
  <xdr:twoCellAnchor>
    <xdr:from>
      <xdr:col>3</xdr:col>
      <xdr:colOff>293370</xdr:colOff>
      <xdr:row>86</xdr:row>
      <xdr:rowOff>19050</xdr:rowOff>
    </xdr:from>
    <xdr:to>
      <xdr:col>4</xdr:col>
      <xdr:colOff>510571</xdr:colOff>
      <xdr:row>90</xdr:row>
      <xdr:rowOff>57150</xdr:rowOff>
    </xdr:to>
    <xdr:sp macro="" textlink="">
      <xdr:nvSpPr>
        <xdr:cNvPr id="97" name="Rounded Rectangle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SpPr/>
      </xdr:nvSpPr>
      <xdr:spPr>
        <a:xfrm>
          <a:off x="2828925" y="13944600"/>
          <a:ext cx="914400" cy="685800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CapEx</a:t>
          </a:r>
        </a:p>
      </xdr:txBody>
    </xdr:sp>
    <xdr:clientData/>
  </xdr:twoCellAnchor>
  <xdr:twoCellAnchor>
    <xdr:from>
      <xdr:col>5</xdr:col>
      <xdr:colOff>581978</xdr:colOff>
      <xdr:row>78</xdr:row>
      <xdr:rowOff>1904</xdr:rowOff>
    </xdr:from>
    <xdr:to>
      <xdr:col>7</xdr:col>
      <xdr:colOff>242914</xdr:colOff>
      <xdr:row>80</xdr:row>
      <xdr:rowOff>9524</xdr:rowOff>
    </xdr:to>
    <xdr:sp macro="" textlink="">
      <xdr:nvSpPr>
        <xdr:cNvPr id="98" name="Rounded Rectangle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SpPr/>
      </xdr:nvSpPr>
      <xdr:spPr>
        <a:xfrm>
          <a:off x="4529138" y="12630149"/>
          <a:ext cx="1152525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Marketing</a:t>
          </a:r>
        </a:p>
      </xdr:txBody>
    </xdr:sp>
    <xdr:clientData/>
  </xdr:twoCellAnchor>
  <xdr:twoCellAnchor>
    <xdr:from>
      <xdr:col>5</xdr:col>
      <xdr:colOff>591503</xdr:colOff>
      <xdr:row>71</xdr:row>
      <xdr:rowOff>9525</xdr:rowOff>
    </xdr:from>
    <xdr:to>
      <xdr:col>7</xdr:col>
      <xdr:colOff>223879</xdr:colOff>
      <xdr:row>73</xdr:row>
      <xdr:rowOff>19050</xdr:rowOff>
    </xdr:to>
    <xdr:sp macro="" textlink="">
      <xdr:nvSpPr>
        <xdr:cNvPr id="99" name="Rounded Rectangle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SpPr/>
      </xdr:nvSpPr>
      <xdr:spPr>
        <a:xfrm>
          <a:off x="4548188" y="11506200"/>
          <a:ext cx="1114425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Manufacturing</a:t>
          </a:r>
        </a:p>
      </xdr:txBody>
    </xdr:sp>
    <xdr:clientData/>
  </xdr:twoCellAnchor>
  <xdr:twoCellAnchor>
    <xdr:from>
      <xdr:col>5</xdr:col>
      <xdr:colOff>586740</xdr:colOff>
      <xdr:row>75</xdr:row>
      <xdr:rowOff>0</xdr:rowOff>
    </xdr:from>
    <xdr:to>
      <xdr:col>7</xdr:col>
      <xdr:colOff>238077</xdr:colOff>
      <xdr:row>77</xdr:row>
      <xdr:rowOff>9525</xdr:rowOff>
    </xdr:to>
    <xdr:sp macro="" textlink="">
      <xdr:nvSpPr>
        <xdr:cNvPr id="100" name="Rounded Rectangle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SpPr/>
      </xdr:nvSpPr>
      <xdr:spPr>
        <a:xfrm>
          <a:off x="4533900" y="12144375"/>
          <a:ext cx="1143000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R&amp;D</a:t>
          </a:r>
        </a:p>
      </xdr:txBody>
    </xdr:sp>
    <xdr:clientData/>
  </xdr:twoCellAnchor>
  <xdr:twoCellAnchor>
    <xdr:from>
      <xdr:col>5</xdr:col>
      <xdr:colOff>562928</xdr:colOff>
      <xdr:row>82</xdr:row>
      <xdr:rowOff>19050</xdr:rowOff>
    </xdr:from>
    <xdr:to>
      <xdr:col>7</xdr:col>
      <xdr:colOff>252500</xdr:colOff>
      <xdr:row>84</xdr:row>
      <xdr:rowOff>28575</xdr:rowOff>
    </xdr:to>
    <xdr:sp macro="" textlink="">
      <xdr:nvSpPr>
        <xdr:cNvPr id="101" name="Rounded Rectangle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SpPr/>
      </xdr:nvSpPr>
      <xdr:spPr>
        <a:xfrm>
          <a:off x="4519613" y="13296900"/>
          <a:ext cx="1171575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Administrative</a:t>
          </a:r>
          <a:r>
            <a:rPr lang="en-US" sz="1100" b="1" baseline="0"/>
            <a:t>  expenses</a:t>
          </a:r>
          <a:endParaRPr lang="en-US" sz="1100" b="1"/>
        </a:p>
      </xdr:txBody>
    </xdr:sp>
    <xdr:clientData/>
  </xdr:twoCellAnchor>
  <xdr:twoCellAnchor>
    <xdr:from>
      <xdr:col>5</xdr:col>
      <xdr:colOff>567690</xdr:colOff>
      <xdr:row>89</xdr:row>
      <xdr:rowOff>9525</xdr:rowOff>
    </xdr:from>
    <xdr:to>
      <xdr:col>7</xdr:col>
      <xdr:colOff>247762</xdr:colOff>
      <xdr:row>91</xdr:row>
      <xdr:rowOff>19050</xdr:rowOff>
    </xdr:to>
    <xdr:sp macro="" textlink="">
      <xdr:nvSpPr>
        <xdr:cNvPr id="102" name="Rounded Rectangle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SpPr/>
      </xdr:nvSpPr>
      <xdr:spPr>
        <a:xfrm>
          <a:off x="4524375" y="14420850"/>
          <a:ext cx="1162050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Depreciation</a:t>
          </a:r>
        </a:p>
      </xdr:txBody>
    </xdr:sp>
    <xdr:clientData/>
  </xdr:twoCellAnchor>
  <xdr:twoCellAnchor>
    <xdr:from>
      <xdr:col>5</xdr:col>
      <xdr:colOff>558165</xdr:colOff>
      <xdr:row>85</xdr:row>
      <xdr:rowOff>0</xdr:rowOff>
    </xdr:from>
    <xdr:to>
      <xdr:col>7</xdr:col>
      <xdr:colOff>257237</xdr:colOff>
      <xdr:row>87</xdr:row>
      <xdr:rowOff>9525</xdr:rowOff>
    </xdr:to>
    <xdr:sp macro="" textlink="">
      <xdr:nvSpPr>
        <xdr:cNvPr id="103" name="Rounded Rectangle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SpPr/>
      </xdr:nvSpPr>
      <xdr:spPr>
        <a:xfrm>
          <a:off x="4514850" y="13763625"/>
          <a:ext cx="1181100" cy="333375"/>
        </a:xfrm>
        <a:prstGeom prst="roundRect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 b="1"/>
            <a:t>PP&amp;E</a:t>
          </a:r>
        </a:p>
      </xdr:txBody>
    </xdr:sp>
    <xdr:clientData/>
  </xdr:twoCellAnchor>
  <xdr:twoCellAnchor>
    <xdr:from>
      <xdr:col>2</xdr:col>
      <xdr:colOff>304800</xdr:colOff>
      <xdr:row>81</xdr:row>
      <xdr:rowOff>0</xdr:rowOff>
    </xdr:from>
    <xdr:to>
      <xdr:col>3</xdr:col>
      <xdr:colOff>302924</xdr:colOff>
      <xdr:row>81</xdr:row>
      <xdr:rowOff>1588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>
          <a:stCxn id="90" idx="3"/>
          <a:endCxn id="96" idx="1"/>
        </xdr:cNvCxnSpPr>
      </xdr:nvCxnSpPr>
      <xdr:spPr>
        <a:xfrm>
          <a:off x="2228850" y="13115925"/>
          <a:ext cx="609600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600074</xdr:colOff>
      <xdr:row>74</xdr:row>
      <xdr:rowOff>1</xdr:rowOff>
    </xdr:from>
    <xdr:to>
      <xdr:col>3</xdr:col>
      <xdr:colOff>321685</xdr:colOff>
      <xdr:row>80</xdr:row>
      <xdr:rowOff>150512</xdr:rowOff>
    </xdr:to>
    <xdr:cxnSp macro="">
      <xdr:nvCxnSpPr>
        <xdr:cNvPr id="109" name="Shape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>
          <a:endCxn id="95" idx="1"/>
        </xdr:cNvCxnSpPr>
      </xdr:nvCxnSpPr>
      <xdr:spPr>
        <a:xfrm rot="5400000" flipH="1" flipV="1">
          <a:off x="2128837" y="12377738"/>
          <a:ext cx="1123950" cy="333375"/>
        </a:xfrm>
        <a:prstGeom prst="bentConnector2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600076</xdr:colOff>
      <xdr:row>81</xdr:row>
      <xdr:rowOff>1904</xdr:rowOff>
    </xdr:from>
    <xdr:to>
      <xdr:col>3</xdr:col>
      <xdr:colOff>293429</xdr:colOff>
      <xdr:row>88</xdr:row>
      <xdr:rowOff>38111</xdr:rowOff>
    </xdr:to>
    <xdr:cxnSp macro="">
      <xdr:nvCxnSpPr>
        <xdr:cNvPr id="111" name="Shape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>
          <a:endCxn id="97" idx="1"/>
        </xdr:cNvCxnSpPr>
      </xdr:nvCxnSpPr>
      <xdr:spPr>
        <a:xfrm rot="16200000" flipH="1">
          <a:off x="2090738" y="13549312"/>
          <a:ext cx="1171575" cy="304800"/>
        </a:xfrm>
        <a:prstGeom prst="bentConnector2">
          <a:avLst/>
        </a:prstGeom>
        <a:ln>
          <a:tailEnd type="arrow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529590</xdr:colOff>
      <xdr:row>72</xdr:row>
      <xdr:rowOff>14288</xdr:rowOff>
    </xdr:from>
    <xdr:to>
      <xdr:col>5</xdr:col>
      <xdr:colOff>591503</xdr:colOff>
      <xdr:row>74</xdr:row>
      <xdr:rowOff>0</xdr:rowOff>
    </xdr:to>
    <xdr:cxnSp macro="">
      <xdr:nvCxnSpPr>
        <xdr:cNvPr id="113" name="Elbow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>
          <a:stCxn id="95" idx="3"/>
          <a:endCxn id="99" idx="1"/>
        </xdr:cNvCxnSpPr>
      </xdr:nvCxnSpPr>
      <xdr:spPr>
        <a:xfrm flipV="1">
          <a:off x="3771900" y="11672888"/>
          <a:ext cx="776288" cy="309562"/>
        </a:xfrm>
        <a:prstGeom prst="bentConnector3">
          <a:avLst>
            <a:gd name="adj1" fmla="val 42638"/>
          </a:avLst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160023</xdr:colOff>
      <xdr:row>74</xdr:row>
      <xdr:rowOff>3</xdr:rowOff>
    </xdr:from>
    <xdr:to>
      <xdr:col>5</xdr:col>
      <xdr:colOff>586740</xdr:colOff>
      <xdr:row>76</xdr:row>
      <xdr:rowOff>4763</xdr:rowOff>
    </xdr:to>
    <xdr:cxnSp macro="">
      <xdr:nvCxnSpPr>
        <xdr:cNvPr id="115" name="Elbow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>
          <a:endCxn id="100" idx="1"/>
        </xdr:cNvCxnSpPr>
      </xdr:nvCxnSpPr>
      <xdr:spPr>
        <a:xfrm>
          <a:off x="4114803" y="11982453"/>
          <a:ext cx="419097" cy="328610"/>
        </a:xfrm>
        <a:prstGeom prst="bentConnector3">
          <a:avLst>
            <a:gd name="adj1" fmla="val -2273"/>
          </a:avLst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512445</xdr:colOff>
      <xdr:row>79</xdr:row>
      <xdr:rowOff>4762</xdr:rowOff>
    </xdr:from>
    <xdr:to>
      <xdr:col>5</xdr:col>
      <xdr:colOff>581987</xdr:colOff>
      <xdr:row>81</xdr:row>
      <xdr:rowOff>0</xdr:rowOff>
    </xdr:to>
    <xdr:cxnSp macro="">
      <xdr:nvCxnSpPr>
        <xdr:cNvPr id="118" name="Elbow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>
          <a:stCxn id="96" idx="3"/>
          <a:endCxn id="98" idx="1"/>
        </xdr:cNvCxnSpPr>
      </xdr:nvCxnSpPr>
      <xdr:spPr>
        <a:xfrm flipV="1">
          <a:off x="3752850" y="12796837"/>
          <a:ext cx="776288" cy="319088"/>
        </a:xfrm>
        <a:prstGeom prst="bentConnector3">
          <a:avLst>
            <a:gd name="adj1" fmla="val 50000"/>
          </a:avLst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188595</xdr:colOff>
      <xdr:row>80</xdr:row>
      <xdr:rowOff>133350</xdr:rowOff>
    </xdr:from>
    <xdr:to>
      <xdr:col>5</xdr:col>
      <xdr:colOff>562764</xdr:colOff>
      <xdr:row>83</xdr:row>
      <xdr:rowOff>23813</xdr:rowOff>
    </xdr:to>
    <xdr:cxnSp macro="">
      <xdr:nvCxnSpPr>
        <xdr:cNvPr id="120" name="Elbow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>
          <a:endCxn id="101" idx="1"/>
        </xdr:cNvCxnSpPr>
      </xdr:nvCxnSpPr>
      <xdr:spPr>
        <a:xfrm rot="16200000" flipH="1">
          <a:off x="4143375" y="13087350"/>
          <a:ext cx="376238" cy="376238"/>
        </a:xfrm>
        <a:prstGeom prst="bentConnector2">
          <a:avLst/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510540</xdr:colOff>
      <xdr:row>86</xdr:row>
      <xdr:rowOff>4763</xdr:rowOff>
    </xdr:from>
    <xdr:to>
      <xdr:col>5</xdr:col>
      <xdr:colOff>558281</xdr:colOff>
      <xdr:row>88</xdr:row>
      <xdr:rowOff>38100</xdr:rowOff>
    </xdr:to>
    <xdr:cxnSp macro="">
      <xdr:nvCxnSpPr>
        <xdr:cNvPr id="123" name="Elbow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>
          <a:stCxn id="97" idx="3"/>
          <a:endCxn id="103" idx="1"/>
        </xdr:cNvCxnSpPr>
      </xdr:nvCxnSpPr>
      <xdr:spPr>
        <a:xfrm flipV="1">
          <a:off x="3743325" y="13930313"/>
          <a:ext cx="771525" cy="357187"/>
        </a:xfrm>
        <a:prstGeom prst="bentConnector3">
          <a:avLst>
            <a:gd name="adj1" fmla="val 50000"/>
          </a:avLst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160020</xdr:colOff>
      <xdr:row>88</xdr:row>
      <xdr:rowOff>28575</xdr:rowOff>
    </xdr:from>
    <xdr:to>
      <xdr:col>5</xdr:col>
      <xdr:colOff>567699</xdr:colOff>
      <xdr:row>90</xdr:row>
      <xdr:rowOff>14288</xdr:rowOff>
    </xdr:to>
    <xdr:cxnSp macro="">
      <xdr:nvCxnSpPr>
        <xdr:cNvPr id="125" name="Elbow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>
          <a:endCxn id="102" idx="1"/>
        </xdr:cNvCxnSpPr>
      </xdr:nvCxnSpPr>
      <xdr:spPr>
        <a:xfrm>
          <a:off x="4114800" y="14277975"/>
          <a:ext cx="409575" cy="309563"/>
        </a:xfrm>
        <a:prstGeom prst="bentConnector3">
          <a:avLst>
            <a:gd name="adj1" fmla="val 3488"/>
          </a:avLst>
        </a:prstGeom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66675</xdr:rowOff>
        </xdr:from>
        <xdr:to>
          <xdr:col>3</xdr:col>
          <xdr:colOff>76200</xdr:colOff>
          <xdr:row>8</xdr:row>
          <xdr:rowOff>38100</xdr:rowOff>
        </xdr:to>
        <xdr:sp macro="" textlink="">
          <xdr:nvSpPr>
            <xdr:cNvPr id="4269" name="Button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E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to create or update charts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para1\shared\Doug\Projects\Parallax\VC\GG\valuation2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btInput"/>
      <sheetName val="IncStatement"/>
      <sheetName val="BalanceSheet"/>
      <sheetName val="CashFlow"/>
      <sheetName val="DebtSchedule"/>
      <sheetName val="NWI"/>
      <sheetName val="OperatingRatios"/>
      <sheetName val="CreditRatios"/>
      <sheetName val="IncStat(PctofSales)"/>
      <sheetName val="Reconciliations"/>
      <sheetName val="ValuationInput"/>
      <sheetName val="Valuation"/>
      <sheetName val="ValuationSummary"/>
      <sheetName val="Storage"/>
      <sheetName val="ProPrint"/>
      <sheetName val="ProSetPeriods"/>
      <sheetName val="ProTV"/>
      <sheetName val="ProUtil"/>
      <sheetName val="XLMMacros"/>
      <sheetName val="DialogCheck"/>
      <sheetName val="DialogGoTo"/>
      <sheetName val="DialogImbalance"/>
      <sheetName val="DialogImport"/>
      <sheetName val="DialogPrint"/>
      <sheetName val="DialogSettings"/>
      <sheetName val="DialogTV"/>
      <sheetName val="DialogWelco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">
          <cell r="F30">
            <v>0.35</v>
          </cell>
        </row>
        <row r="50">
          <cell r="F50">
            <v>5.0000000000000001E-3</v>
          </cell>
        </row>
        <row r="55">
          <cell r="D55">
            <v>1</v>
          </cell>
        </row>
        <row r="56">
          <cell r="D56" t="str">
            <v>Free cash flow</v>
          </cell>
        </row>
        <row r="58">
          <cell r="D58">
            <v>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para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3:M41"/>
  <sheetViews>
    <sheetView showGridLines="0" workbookViewId="0">
      <selection activeCell="B41" sqref="B41"/>
    </sheetView>
  </sheetViews>
  <sheetFormatPr defaultRowHeight="12.75" x14ac:dyDescent="0.2"/>
  <sheetData>
    <row r="3" spans="2:13" ht="18" x14ac:dyDescent="0.25">
      <c r="B3" s="68" t="s">
        <v>92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x14ac:dyDescent="0.2">
      <c r="B4" s="51" t="s">
        <v>138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102"/>
    </row>
    <row r="5" spans="2:13" x14ac:dyDescent="0.2">
      <c r="B5" s="531" t="s">
        <v>472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102"/>
    </row>
    <row r="6" spans="2:13" x14ac:dyDescent="0.2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02"/>
    </row>
    <row r="7" spans="2:13" ht="13.5" thickBot="1" x14ac:dyDescent="0.25">
      <c r="B7" s="73" t="s">
        <v>473</v>
      </c>
      <c r="C7" s="70"/>
      <c r="D7" s="70"/>
      <c r="E7" s="70"/>
      <c r="F7" s="70"/>
      <c r="G7" s="70"/>
      <c r="H7" s="70"/>
      <c r="I7" s="70"/>
      <c r="J7" s="70"/>
      <c r="K7" s="115" t="s">
        <v>153</v>
      </c>
      <c r="L7" s="115"/>
      <c r="M7" s="114"/>
    </row>
    <row r="10" spans="2:13" ht="16.5" thickBot="1" x14ac:dyDescent="0.3">
      <c r="B10" s="71" t="s">
        <v>93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2" spans="2:13" ht="13.5" thickBot="1" x14ac:dyDescent="0.25">
      <c r="B12" s="72" t="s">
        <v>94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2:13" x14ac:dyDescent="0.2">
      <c r="B13" t="s">
        <v>100</v>
      </c>
    </row>
    <row r="15" spans="2:13" ht="13.5" thickBot="1" x14ac:dyDescent="0.25">
      <c r="B15" s="72" t="s">
        <v>95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2:13" x14ac:dyDescent="0.2">
      <c r="B16" s="63" t="s">
        <v>101</v>
      </c>
    </row>
    <row r="17" spans="2:13" x14ac:dyDescent="0.2">
      <c r="B17" s="63" t="s">
        <v>102</v>
      </c>
    </row>
    <row r="19" spans="2:13" ht="13.5" thickBot="1" x14ac:dyDescent="0.25">
      <c r="B19" s="72" t="s">
        <v>96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2:13" x14ac:dyDescent="0.2">
      <c r="B20" s="64" t="s">
        <v>103</v>
      </c>
    </row>
    <row r="21" spans="2:13" x14ac:dyDescent="0.2">
      <c r="B21" s="64" t="s">
        <v>104</v>
      </c>
    </row>
    <row r="22" spans="2:13" x14ac:dyDescent="0.2">
      <c r="B22" s="64" t="s">
        <v>134</v>
      </c>
    </row>
    <row r="23" spans="2:13" x14ac:dyDescent="0.2">
      <c r="B23" s="64" t="s">
        <v>135</v>
      </c>
    </row>
    <row r="24" spans="2:13" x14ac:dyDescent="0.2">
      <c r="B24" s="64" t="s">
        <v>105</v>
      </c>
    </row>
    <row r="25" spans="2:13" x14ac:dyDescent="0.2">
      <c r="B25" s="62"/>
    </row>
    <row r="26" spans="2:13" ht="13.5" thickBot="1" x14ac:dyDescent="0.25">
      <c r="B26" s="72" t="s">
        <v>97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2:13" x14ac:dyDescent="0.2">
      <c r="B27" s="64" t="s">
        <v>106</v>
      </c>
    </row>
    <row r="28" spans="2:13" x14ac:dyDescent="0.2">
      <c r="B28" s="64" t="s">
        <v>132</v>
      </c>
    </row>
    <row r="29" spans="2:13" x14ac:dyDescent="0.2">
      <c r="B29" s="64" t="s">
        <v>133</v>
      </c>
    </row>
    <row r="30" spans="2:13" x14ac:dyDescent="0.2">
      <c r="B30" s="64" t="s">
        <v>107</v>
      </c>
    </row>
    <row r="31" spans="2:13" x14ac:dyDescent="0.2">
      <c r="B31" s="62"/>
    </row>
    <row r="32" spans="2:13" ht="13.5" thickBot="1" x14ac:dyDescent="0.25">
      <c r="B32" s="72" t="s">
        <v>98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</row>
    <row r="33" spans="2:13" x14ac:dyDescent="0.2">
      <c r="B33" s="63" t="s">
        <v>108</v>
      </c>
    </row>
    <row r="35" spans="2:13" ht="13.5" thickBot="1" x14ac:dyDescent="0.25">
      <c r="B35" s="72" t="s">
        <v>99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 x14ac:dyDescent="0.2">
      <c r="B36" s="64" t="s">
        <v>109</v>
      </c>
    </row>
    <row r="37" spans="2:13" x14ac:dyDescent="0.2">
      <c r="B37" s="64" t="s">
        <v>137</v>
      </c>
    </row>
    <row r="38" spans="2:13" x14ac:dyDescent="0.2">
      <c r="B38" s="64" t="s">
        <v>136</v>
      </c>
    </row>
    <row r="39" spans="2:13" x14ac:dyDescent="0.2">
      <c r="B39" s="64" t="s">
        <v>110</v>
      </c>
    </row>
    <row r="40" spans="2:13" x14ac:dyDescent="0.2">
      <c r="B40" s="532" t="s">
        <v>474</v>
      </c>
    </row>
    <row r="41" spans="2:13" x14ac:dyDescent="0.2">
      <c r="B41" s="64" t="s">
        <v>111</v>
      </c>
    </row>
  </sheetData>
  <phoneticPr fontId="8" type="noConversion"/>
  <hyperlinks>
    <hyperlink ref="K7" r:id="rId1" xr:uid="{00000000-0004-0000-0000-000000000000}"/>
  </hyperlinks>
  <pageMargins left="0.75" right="0.75" top="1" bottom="1" header="0.5" footer="0.5"/>
  <pageSetup orientation="portrait" horizont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B1:H77"/>
  <sheetViews>
    <sheetView topLeftCell="A51" zoomScale="110" zoomScaleNormal="110" workbookViewId="0">
      <selection activeCell="C70" sqref="C70"/>
    </sheetView>
  </sheetViews>
  <sheetFormatPr defaultRowHeight="12.75" x14ac:dyDescent="0.2"/>
  <cols>
    <col min="2" max="2" width="37.5703125" customWidth="1"/>
    <col min="3" max="3" width="15.140625" customWidth="1"/>
    <col min="4" max="4" width="12.7109375" customWidth="1"/>
    <col min="5" max="5" width="12" customWidth="1"/>
    <col min="6" max="6" width="12.28515625" customWidth="1"/>
    <col min="7" max="7" width="11.7109375" customWidth="1"/>
    <col min="8" max="8" width="12.5703125" customWidth="1"/>
  </cols>
  <sheetData>
    <row r="1" spans="2:8" ht="13.5" thickBot="1" x14ac:dyDescent="0.25"/>
    <row r="2" spans="2:8" ht="16.5" thickBot="1" x14ac:dyDescent="0.3">
      <c r="B2" s="309" t="s">
        <v>17</v>
      </c>
      <c r="C2" s="310">
        <f>Inputs!C12</f>
        <v>40178</v>
      </c>
      <c r="D2" s="310">
        <f>Inputs!D12</f>
        <v>40543</v>
      </c>
      <c r="E2" s="310">
        <f>Inputs!E12</f>
        <v>40908</v>
      </c>
      <c r="F2" s="310">
        <f>Inputs!F12</f>
        <v>41273</v>
      </c>
      <c r="G2" s="310">
        <f>Inputs!G12</f>
        <v>41638</v>
      </c>
      <c r="H2" s="4"/>
    </row>
    <row r="4" spans="2:8" x14ac:dyDescent="0.2">
      <c r="B4" s="94" t="s">
        <v>19</v>
      </c>
      <c r="C4" s="95">
        <f>Inputs!C60</f>
        <v>500000</v>
      </c>
      <c r="D4" s="95">
        <f>Inputs!D60</f>
        <v>1680000.0000000002</v>
      </c>
      <c r="E4" s="95">
        <f>Inputs!E60</f>
        <v>3198720.0000000005</v>
      </c>
      <c r="F4" s="95">
        <f>Inputs!F60</f>
        <v>10747699.200000005</v>
      </c>
      <c r="G4" s="95">
        <f>Inputs!G60</f>
        <v>36112269.312000021</v>
      </c>
      <c r="H4" s="2"/>
    </row>
    <row r="5" spans="2:8" x14ac:dyDescent="0.2">
      <c r="B5" s="1"/>
    </row>
    <row r="6" spans="2:8" x14ac:dyDescent="0.2">
      <c r="B6" s="1" t="s">
        <v>20</v>
      </c>
    </row>
    <row r="7" spans="2:8" x14ac:dyDescent="0.2">
      <c r="B7" s="2" t="s">
        <v>50</v>
      </c>
      <c r="C7" s="2">
        <f>Inputs!C63</f>
        <v>-714320</v>
      </c>
      <c r="D7" s="2">
        <f>Inputs!D63</f>
        <v>-1039680</v>
      </c>
      <c r="E7" s="2">
        <f>Inputs!E63</f>
        <v>-1878327.4089099998</v>
      </c>
      <c r="F7" s="2">
        <f>Inputs!F63</f>
        <v>-3251105.8319428749</v>
      </c>
      <c r="G7" s="2">
        <f>Inputs!G63</f>
        <v>-6620351.281527577</v>
      </c>
      <c r="H7" s="2"/>
    </row>
    <row r="8" spans="2:8" x14ac:dyDescent="0.2">
      <c r="B8" s="2" t="s">
        <v>21</v>
      </c>
      <c r="C8" s="2">
        <f>Inputs!C64</f>
        <v>-8681.6</v>
      </c>
      <c r="D8" s="2">
        <f>Inputs!D64</f>
        <v>-3195.6000000000004</v>
      </c>
      <c r="E8" s="2">
        <f>Inputs!E64</f>
        <v>-9755.5999999999985</v>
      </c>
      <c r="F8" s="2">
        <f>Inputs!F64</f>
        <v>-2270.6000000000022</v>
      </c>
      <c r="G8" s="2">
        <f>Inputs!G64</f>
        <v>-8828.5999999999985</v>
      </c>
      <c r="H8" s="2"/>
    </row>
    <row r="9" spans="2:8" x14ac:dyDescent="0.2">
      <c r="B9" s="2" t="s">
        <v>22</v>
      </c>
      <c r="C9" s="2">
        <f>Inputs!C65</f>
        <v>-462540</v>
      </c>
      <c r="D9" s="2">
        <f>Inputs!D65</f>
        <v>-535920</v>
      </c>
      <c r="E9" s="2">
        <f>Inputs!E65</f>
        <v>-1004297.8522274999</v>
      </c>
      <c r="F9" s="2">
        <f>Inputs!F65</f>
        <v>-1646780.2179857185</v>
      </c>
      <c r="G9" s="2">
        <f>Inputs!G65</f>
        <v>-3243059.4539818936</v>
      </c>
      <c r="H9" s="2"/>
    </row>
    <row r="10" spans="2:8" x14ac:dyDescent="0.2">
      <c r="B10" s="2" t="s">
        <v>23</v>
      </c>
      <c r="C10" s="2">
        <f>Inputs!C66</f>
        <v>0</v>
      </c>
      <c r="D10" s="2">
        <f>Inputs!D66</f>
        <v>0</v>
      </c>
      <c r="E10" s="2">
        <f>Inputs!E66</f>
        <v>0</v>
      </c>
      <c r="F10" s="2">
        <f>Inputs!F66</f>
        <v>0</v>
      </c>
      <c r="G10" s="2">
        <f>Inputs!G66</f>
        <v>0</v>
      </c>
      <c r="H10" s="2"/>
    </row>
    <row r="11" spans="2:8" x14ac:dyDescent="0.2">
      <c r="B11" s="2" t="s">
        <v>24</v>
      </c>
      <c r="C11" s="2">
        <f>Inputs!C68</f>
        <v>5420.0408163265265</v>
      </c>
      <c r="D11" s="2">
        <f>Inputs!D68</f>
        <v>35618.403845165267</v>
      </c>
      <c r="E11" s="2">
        <f>Inputs!E68</f>
        <v>68716.947521886919</v>
      </c>
      <c r="F11" s="2">
        <f>Inputs!F68</f>
        <v>219389.83296252435</v>
      </c>
      <c r="G11" s="2">
        <f>Inputs!G68</f>
        <v>570725.90386917687</v>
      </c>
      <c r="H11" s="2"/>
    </row>
    <row r="12" spans="2:8" x14ac:dyDescent="0.2">
      <c r="B12" s="2" t="s">
        <v>25</v>
      </c>
      <c r="C12" s="2">
        <f>Inputs!C70</f>
        <v>-680121.55918367347</v>
      </c>
      <c r="D12" s="2">
        <f>Inputs!D70</f>
        <v>136822.8038451653</v>
      </c>
      <c r="E12" s="2">
        <f>Inputs!E70</f>
        <v>375056.08638438722</v>
      </c>
      <c r="F12" s="2">
        <f>Inputs!F70</f>
        <v>6066932.383033935</v>
      </c>
      <c r="G12" s="2">
        <f>Inputs!G70</f>
        <v>26810755.880359728</v>
      </c>
      <c r="H12" s="2"/>
    </row>
    <row r="13" spans="2:8" x14ac:dyDescent="0.2">
      <c r="B13" s="2" t="s">
        <v>26</v>
      </c>
      <c r="C13" s="2">
        <f>Inputs!C71</f>
        <v>0</v>
      </c>
      <c r="D13" s="2">
        <f>Inputs!D71</f>
        <v>-34205.700961291324</v>
      </c>
      <c r="E13" s="2">
        <f>Inputs!E71</f>
        <v>-93764.021596096805</v>
      </c>
      <c r="F13" s="2">
        <f>Inputs!F71</f>
        <v>-1516733.0957584837</v>
      </c>
      <c r="G13" s="2">
        <f>Inputs!G71</f>
        <v>-6702688.970089932</v>
      </c>
      <c r="H13" s="2"/>
    </row>
    <row r="14" spans="2:8" x14ac:dyDescent="0.2">
      <c r="B14" s="94" t="s">
        <v>27</v>
      </c>
      <c r="C14" s="95">
        <f>Inputs!C73</f>
        <v>-680121.55918367347</v>
      </c>
      <c r="D14" s="95">
        <f>Inputs!D73</f>
        <v>102617.10288387397</v>
      </c>
      <c r="E14" s="95">
        <f>Inputs!E73</f>
        <v>281292.06478829042</v>
      </c>
      <c r="F14" s="95">
        <f>Inputs!F73</f>
        <v>4550199.2872754512</v>
      </c>
      <c r="G14" s="95">
        <f>Inputs!G73</f>
        <v>20108066.910269797</v>
      </c>
      <c r="H14" s="2"/>
    </row>
    <row r="15" spans="2:8" ht="13.5" thickBot="1" x14ac:dyDescent="0.25">
      <c r="B15" s="1"/>
    </row>
    <row r="16" spans="2:8" ht="16.5" thickBot="1" x14ac:dyDescent="0.3">
      <c r="B16" s="311" t="s">
        <v>36</v>
      </c>
      <c r="C16" s="310">
        <f>C2</f>
        <v>40178</v>
      </c>
      <c r="D16" s="310">
        <f>D2</f>
        <v>40543</v>
      </c>
      <c r="E16" s="310">
        <f>E2</f>
        <v>40908</v>
      </c>
      <c r="F16" s="310">
        <f>F2</f>
        <v>41273</v>
      </c>
      <c r="G16" s="310">
        <f>G2</f>
        <v>41638</v>
      </c>
    </row>
    <row r="17" spans="2:8" ht="15.75" x14ac:dyDescent="0.25">
      <c r="B17" s="6"/>
    </row>
    <row r="18" spans="2:8" x14ac:dyDescent="0.2">
      <c r="B18" s="1" t="s">
        <v>37</v>
      </c>
    </row>
    <row r="19" spans="2:8" x14ac:dyDescent="0.2">
      <c r="B19" s="2" t="s">
        <v>32</v>
      </c>
      <c r="C19" s="2">
        <f>Inputs!C14</f>
        <v>271002.04081632633</v>
      </c>
      <c r="D19" s="2">
        <f>Inputs!D14</f>
        <v>3290838.3437002003</v>
      </c>
      <c r="E19" s="2">
        <f>Inputs!E14</f>
        <v>3580856.4084884911</v>
      </c>
      <c r="F19" s="2">
        <f>Inputs!F14</f>
        <v>18358126.887763944</v>
      </c>
      <c r="G19" s="2">
        <f>Inputs!G14</f>
        <v>38714463.499153733</v>
      </c>
      <c r="H19" s="2"/>
    </row>
    <row r="20" spans="2:8" x14ac:dyDescent="0.2">
      <c r="B20" s="2" t="s">
        <v>1</v>
      </c>
      <c r="C20" s="2">
        <f>Inputs!C16</f>
        <v>110000</v>
      </c>
      <c r="D20" s="2">
        <f>Inputs!D16</f>
        <v>369600.00000000006</v>
      </c>
      <c r="E20" s="2">
        <f>Inputs!E16</f>
        <v>703718.40000000014</v>
      </c>
      <c r="F20" s="2">
        <f>Inputs!F16</f>
        <v>2364493.824000001</v>
      </c>
      <c r="G20" s="2">
        <f>Inputs!G16</f>
        <v>7944699.2486400045</v>
      </c>
      <c r="H20" s="2"/>
    </row>
    <row r="21" spans="2:8" x14ac:dyDescent="0.2">
      <c r="B21" s="2" t="s">
        <v>2</v>
      </c>
      <c r="C21" s="2">
        <f>Inputs!C18</f>
        <v>5000</v>
      </c>
      <c r="D21" s="2">
        <f>Inputs!D18</f>
        <v>16800.000000000004</v>
      </c>
      <c r="E21" s="2">
        <f>Inputs!E18</f>
        <v>31987.200000000004</v>
      </c>
      <c r="F21" s="2">
        <f>Inputs!F18</f>
        <v>107476.99200000006</v>
      </c>
      <c r="G21" s="2">
        <f>Inputs!G18</f>
        <v>361122.69312000024</v>
      </c>
      <c r="H21" s="2"/>
    </row>
    <row r="22" spans="2:8" x14ac:dyDescent="0.2">
      <c r="B22" s="2" t="s">
        <v>3</v>
      </c>
      <c r="C22" s="2">
        <f>Inputs!C20</f>
        <v>40000</v>
      </c>
      <c r="D22" s="2">
        <f>Inputs!D20</f>
        <v>134400.00000000003</v>
      </c>
      <c r="E22" s="2">
        <f>Inputs!E20</f>
        <v>255897.60000000003</v>
      </c>
      <c r="F22" s="2">
        <f>Inputs!F20</f>
        <v>859815.93600000045</v>
      </c>
      <c r="G22" s="2">
        <f>Inputs!G20</f>
        <v>2888981.5449600019</v>
      </c>
      <c r="H22" s="2"/>
    </row>
    <row r="23" spans="2:8" x14ac:dyDescent="0.2">
      <c r="B23" s="94" t="s">
        <v>38</v>
      </c>
      <c r="C23" s="94">
        <f>Inputs!C22</f>
        <v>426002.04081632633</v>
      </c>
      <c r="D23" s="94">
        <f>Inputs!D22</f>
        <v>3811638.3437002003</v>
      </c>
      <c r="E23" s="94">
        <f>Inputs!E22</f>
        <v>4572459.6084884908</v>
      </c>
      <c r="F23" s="94">
        <f>Inputs!F22</f>
        <v>21689913.639763944</v>
      </c>
      <c r="G23" s="94">
        <f>Inputs!G22</f>
        <v>49909266.985873736</v>
      </c>
      <c r="H23" s="7"/>
    </row>
    <row r="24" spans="2:8" x14ac:dyDescent="0.2">
      <c r="B24" s="2"/>
    </row>
    <row r="25" spans="2:8" x14ac:dyDescent="0.2">
      <c r="B25" s="1" t="s">
        <v>4</v>
      </c>
    </row>
    <row r="26" spans="2:8" x14ac:dyDescent="0.2">
      <c r="B26" s="3" t="s">
        <v>5</v>
      </c>
      <c r="C26" s="2">
        <f>Inputs!C25+Inputs!C29+Inputs!C33</f>
        <v>32558</v>
      </c>
      <c r="D26" s="2">
        <f>Inputs!D25+Inputs!D29+Inputs!D33</f>
        <v>37334.400000000001</v>
      </c>
      <c r="E26" s="2">
        <f>Inputs!E25+Inputs!E29+Inputs!E33</f>
        <v>61615.199999999997</v>
      </c>
      <c r="F26" s="2">
        <f>Inputs!F25+Inputs!F29+Inputs!F33</f>
        <v>72240.399999999994</v>
      </c>
      <c r="G26" s="2">
        <f>Inputs!G25+Inputs!G29+Inputs!G33</f>
        <v>86445</v>
      </c>
      <c r="H26" s="2"/>
    </row>
    <row r="27" spans="2:8" x14ac:dyDescent="0.2">
      <c r="B27" s="3" t="s">
        <v>6</v>
      </c>
      <c r="C27" s="2">
        <f>Inputs!C26+Inputs!C30+Inputs!C34</f>
        <v>-8681.6</v>
      </c>
      <c r="D27" s="2">
        <f>Inputs!D26+Inputs!D30+Inputs!D34</f>
        <v>-11877.2</v>
      </c>
      <c r="E27" s="2">
        <f>Inputs!E26+Inputs!E30+Inputs!E34</f>
        <v>-21632.799999999999</v>
      </c>
      <c r="F27" s="2">
        <f>Inputs!F26+Inputs!F30+Inputs!F34</f>
        <v>-23903.4</v>
      </c>
      <c r="G27" s="2">
        <f>Inputs!G26+Inputs!G30+Inputs!G34</f>
        <v>-32732</v>
      </c>
      <c r="H27" s="2"/>
    </row>
    <row r="28" spans="2:8" x14ac:dyDescent="0.2">
      <c r="B28" s="1" t="s">
        <v>7</v>
      </c>
      <c r="C28" s="1">
        <f>Inputs!C37</f>
        <v>23876.400000000001</v>
      </c>
      <c r="D28" s="1">
        <f>Inputs!D37</f>
        <v>25457.199999999997</v>
      </c>
      <c r="E28" s="1">
        <f>Inputs!E37</f>
        <v>39982.399999999994</v>
      </c>
      <c r="F28" s="1">
        <f>Inputs!F37</f>
        <v>48337</v>
      </c>
      <c r="G28" s="1">
        <f>Inputs!G37</f>
        <v>53713</v>
      </c>
      <c r="H28" s="2"/>
    </row>
    <row r="29" spans="2:8" x14ac:dyDescent="0.2">
      <c r="B29" s="94" t="s">
        <v>8</v>
      </c>
      <c r="C29" s="94">
        <f>Inputs!C38</f>
        <v>449878.44081632636</v>
      </c>
      <c r="D29" s="94">
        <f>Inputs!D38</f>
        <v>3837095.5437002005</v>
      </c>
      <c r="E29" s="94">
        <f>Inputs!E38</f>
        <v>4612442.0084884912</v>
      </c>
      <c r="F29" s="94">
        <f>Inputs!F38</f>
        <v>21738250.639763944</v>
      </c>
      <c r="G29" s="94">
        <f>Inputs!G38</f>
        <v>49962979.985873736</v>
      </c>
      <c r="H29" s="2"/>
    </row>
    <row r="30" spans="2:8" x14ac:dyDescent="0.2">
      <c r="B30" s="2"/>
    </row>
    <row r="31" spans="2:8" x14ac:dyDescent="0.2">
      <c r="B31" s="2"/>
    </row>
    <row r="32" spans="2:8" x14ac:dyDescent="0.2">
      <c r="B32" s="1" t="s">
        <v>9</v>
      </c>
    </row>
    <row r="33" spans="2:8" x14ac:dyDescent="0.2">
      <c r="B33" s="2" t="s">
        <v>10</v>
      </c>
      <c r="C33" s="2">
        <f>Inputs!C42</f>
        <v>60000</v>
      </c>
      <c r="D33" s="2">
        <f>Inputs!D42</f>
        <v>201600.00000000003</v>
      </c>
      <c r="E33" s="2">
        <f>Inputs!E42</f>
        <v>383846.40000000002</v>
      </c>
      <c r="F33" s="2">
        <f>Inputs!F42</f>
        <v>1289723.9040000006</v>
      </c>
      <c r="G33" s="2">
        <f>Inputs!G42</f>
        <v>4333472.3174400022</v>
      </c>
      <c r="H33" s="2"/>
    </row>
    <row r="34" spans="2:8" x14ac:dyDescent="0.2">
      <c r="B34" s="2" t="s">
        <v>11</v>
      </c>
      <c r="C34" s="2">
        <f>Inputs!C44</f>
        <v>0</v>
      </c>
      <c r="D34" s="2">
        <f>Inputs!D44</f>
        <v>0</v>
      </c>
      <c r="E34" s="2">
        <f>Inputs!E44</f>
        <v>0</v>
      </c>
      <c r="F34" s="2">
        <f>Inputs!F44</f>
        <v>0</v>
      </c>
      <c r="G34" s="2">
        <f>Inputs!G44</f>
        <v>0</v>
      </c>
      <c r="H34" s="2"/>
    </row>
    <row r="35" spans="2:8" x14ac:dyDescent="0.2">
      <c r="B35" s="2" t="s">
        <v>12</v>
      </c>
      <c r="C35" s="2">
        <f>Inputs!C46</f>
        <v>25000</v>
      </c>
      <c r="D35" s="2">
        <f>Inputs!D46</f>
        <v>168000.00000000003</v>
      </c>
      <c r="E35" s="2">
        <f>Inputs!E46</f>
        <v>479808.00000000006</v>
      </c>
      <c r="F35" s="2">
        <f>Inputs!F46</f>
        <v>2149539.8400000012</v>
      </c>
      <c r="G35" s="2">
        <f>Inputs!G46</f>
        <v>7222453.8624000046</v>
      </c>
      <c r="H35" s="2"/>
    </row>
    <row r="36" spans="2:8" x14ac:dyDescent="0.2">
      <c r="B36" s="94" t="s">
        <v>39</v>
      </c>
      <c r="C36" s="94">
        <f>Inputs!C48</f>
        <v>85000</v>
      </c>
      <c r="D36" s="94">
        <f>Inputs!D48</f>
        <v>369600.00000000006</v>
      </c>
      <c r="E36" s="94">
        <f>Inputs!E48</f>
        <v>863654.40000000014</v>
      </c>
      <c r="F36" s="94">
        <f>Inputs!F48</f>
        <v>3439263.7440000018</v>
      </c>
      <c r="G36" s="94">
        <f>Inputs!G48</f>
        <v>11555926.179840006</v>
      </c>
      <c r="H36" s="7"/>
    </row>
    <row r="37" spans="2:8" x14ac:dyDescent="0.2">
      <c r="B37" s="2"/>
    </row>
    <row r="38" spans="2:8" x14ac:dyDescent="0.2">
      <c r="B38" s="130" t="str">
        <f>Inputs!B50</f>
        <v>Necessary to finance</v>
      </c>
      <c r="C38" s="131">
        <f>Inputs!C50</f>
        <v>0</v>
      </c>
      <c r="D38" s="131">
        <f>Inputs!D50</f>
        <v>0</v>
      </c>
      <c r="E38" s="131">
        <f>Inputs!E50</f>
        <v>0</v>
      </c>
      <c r="F38" s="131">
        <f>Inputs!F50</f>
        <v>0</v>
      </c>
      <c r="G38" s="131">
        <f>Inputs!G50</f>
        <v>0</v>
      </c>
      <c r="H38" s="2"/>
    </row>
    <row r="39" spans="2:8" x14ac:dyDescent="0.2">
      <c r="B39" s="2"/>
    </row>
    <row r="40" spans="2:8" x14ac:dyDescent="0.2">
      <c r="B40" s="1" t="s">
        <v>13</v>
      </c>
    </row>
    <row r="41" spans="2:8" x14ac:dyDescent="0.2">
      <c r="B41" s="2" t="s">
        <v>14</v>
      </c>
      <c r="C41" s="2">
        <f>Inputs!C53</f>
        <v>1045000</v>
      </c>
      <c r="D41" s="2">
        <f>Inputs!D53</f>
        <v>4045000</v>
      </c>
      <c r="E41" s="2">
        <f>Inputs!E53</f>
        <v>4045000</v>
      </c>
      <c r="F41" s="2">
        <f>Inputs!F53</f>
        <v>14045000</v>
      </c>
      <c r="G41" s="2">
        <f>Inputs!G53</f>
        <v>14045000</v>
      </c>
      <c r="H41" s="2"/>
    </row>
    <row r="42" spans="2:8" x14ac:dyDescent="0.2">
      <c r="B42" s="2" t="s">
        <v>15</v>
      </c>
      <c r="C42" s="2">
        <f>Inputs!C54</f>
        <v>-680121.55918367347</v>
      </c>
      <c r="D42" s="2">
        <f>Inputs!D54</f>
        <v>-577504.45629979949</v>
      </c>
      <c r="E42" s="2">
        <f>Inputs!E54</f>
        <v>-296212.39151150908</v>
      </c>
      <c r="F42" s="2">
        <f>Inputs!F54</f>
        <v>4253986.895763942</v>
      </c>
      <c r="G42" s="2">
        <f>Inputs!G54</f>
        <v>24362053.806033738</v>
      </c>
      <c r="H42" s="2"/>
    </row>
    <row r="43" spans="2:8" x14ac:dyDescent="0.2">
      <c r="B43" s="94" t="s">
        <v>16</v>
      </c>
      <c r="C43" s="94">
        <f>Inputs!C55</f>
        <v>449878.44081632653</v>
      </c>
      <c r="D43" s="94">
        <f>Inputs!D55</f>
        <v>3837095.5437002005</v>
      </c>
      <c r="E43" s="94">
        <f>Inputs!E55</f>
        <v>4612442.0084884912</v>
      </c>
      <c r="F43" s="94">
        <f>Inputs!F55</f>
        <v>21738250.639763944</v>
      </c>
      <c r="G43" s="94">
        <f>Inputs!G55</f>
        <v>49962979.985873744</v>
      </c>
      <c r="H43" s="2"/>
    </row>
    <row r="44" spans="2:8" x14ac:dyDescent="0.2">
      <c r="B44" s="2"/>
    </row>
    <row r="45" spans="2:8" ht="13.5" thickBot="1" x14ac:dyDescent="0.25">
      <c r="B45" s="2"/>
    </row>
    <row r="46" spans="2:8" ht="16.5" thickBot="1" x14ac:dyDescent="0.3">
      <c r="B46" s="311" t="s">
        <v>51</v>
      </c>
      <c r="C46" s="310">
        <f>C2</f>
        <v>40178</v>
      </c>
      <c r="D46" s="310">
        <f>D2</f>
        <v>40543</v>
      </c>
      <c r="E46" s="310">
        <f>E2</f>
        <v>40908</v>
      </c>
      <c r="F46" s="310">
        <f>F2</f>
        <v>41273</v>
      </c>
      <c r="G46" s="310">
        <f>G2</f>
        <v>41638</v>
      </c>
      <c r="H46" s="4"/>
    </row>
    <row r="47" spans="2:8" ht="15.75" x14ac:dyDescent="0.25">
      <c r="B47" s="5"/>
      <c r="C47" s="4"/>
      <c r="D47" s="4"/>
      <c r="E47" s="4"/>
      <c r="F47" s="4"/>
      <c r="G47" s="4"/>
      <c r="H47" s="4"/>
    </row>
    <row r="48" spans="2:8" x14ac:dyDescent="0.2">
      <c r="B48" s="3" t="s">
        <v>40</v>
      </c>
      <c r="C48" s="2">
        <f>C14</f>
        <v>-680121.55918367347</v>
      </c>
      <c r="D48" s="2">
        <f>D14</f>
        <v>102617.10288387397</v>
      </c>
      <c r="E48" s="2">
        <f>E14</f>
        <v>281292.06478829042</v>
      </c>
      <c r="F48" s="2">
        <f>F14</f>
        <v>4550199.2872754512</v>
      </c>
      <c r="G48" s="2">
        <f>G14</f>
        <v>20108066.910269797</v>
      </c>
      <c r="H48" s="2"/>
    </row>
    <row r="49" spans="2:8" x14ac:dyDescent="0.2">
      <c r="B49" s="2" t="s">
        <v>41</v>
      </c>
      <c r="C49" s="2">
        <f>-C8</f>
        <v>8681.6</v>
      </c>
      <c r="D49" s="2">
        <f>-D8</f>
        <v>3195.6000000000004</v>
      </c>
      <c r="E49" s="2">
        <f>-E8</f>
        <v>9755.5999999999985</v>
      </c>
      <c r="F49" s="2">
        <f>-F8</f>
        <v>2270.6000000000022</v>
      </c>
      <c r="G49" s="2">
        <f>-G8</f>
        <v>8828.5999999999985</v>
      </c>
      <c r="H49" s="2"/>
    </row>
    <row r="50" spans="2:8" x14ac:dyDescent="0.2">
      <c r="B50" s="2" t="s">
        <v>42</v>
      </c>
      <c r="C50" s="2">
        <f>-C10*(1-Inputs!C45)</f>
        <v>0</v>
      </c>
      <c r="D50" s="2">
        <f>-D10*(1-Inputs!D45)</f>
        <v>0</v>
      </c>
      <c r="E50" s="2">
        <f>-E10*(1-Inputs!E45)</f>
        <v>0</v>
      </c>
      <c r="F50" s="2">
        <f>-F10*(1-Inputs!F45)</f>
        <v>0</v>
      </c>
      <c r="G50" s="2">
        <f>-G10*(1-Inputs!G45)</f>
        <v>0</v>
      </c>
      <c r="H50" s="2"/>
    </row>
    <row r="51" spans="2:8" x14ac:dyDescent="0.2">
      <c r="B51" s="3" t="s">
        <v>43</v>
      </c>
      <c r="C51" s="7">
        <f>-C11*(1-Inputs!C45)</f>
        <v>-5420.0408163265265</v>
      </c>
      <c r="D51" s="7">
        <f>-D11*(1-Inputs!D45)</f>
        <v>-35618.403845165267</v>
      </c>
      <c r="E51" s="7">
        <f>-E11*(1-Inputs!E45)</f>
        <v>-68716.947521886919</v>
      </c>
      <c r="F51" s="7">
        <f>-F11*(1-Inputs!F45)</f>
        <v>-219389.83296252435</v>
      </c>
      <c r="G51" s="7">
        <f>-G11*(1-Inputs!G45)</f>
        <v>-570725.90386917687</v>
      </c>
      <c r="H51" s="7"/>
    </row>
    <row r="52" spans="2:8" x14ac:dyDescent="0.2">
      <c r="B52" s="2" t="s">
        <v>44</v>
      </c>
      <c r="C52" s="2">
        <f>-SUM(C20:C22)+SUM(B20:B22)</f>
        <v>-155000</v>
      </c>
      <c r="D52" s="2">
        <f>-SUM(D20:D22)+SUM(C20:C22)</f>
        <v>-365800.00000000012</v>
      </c>
      <c r="E52" s="2">
        <f>-SUM(E20:E22)+SUM(D20:D22)</f>
        <v>-470803.20000000007</v>
      </c>
      <c r="F52" s="2">
        <f>-SUM(F20:F22)+SUM(E20:E22)</f>
        <v>-2340183.5520000011</v>
      </c>
      <c r="G52" s="2">
        <f>-SUM(G20:G22)+SUM(F20:F22)</f>
        <v>-7863016.7347200057</v>
      </c>
      <c r="H52" s="2"/>
    </row>
    <row r="53" spans="2:8" x14ac:dyDescent="0.2">
      <c r="B53" s="3" t="s">
        <v>45</v>
      </c>
      <c r="C53" s="8">
        <f>C36</f>
        <v>85000</v>
      </c>
      <c r="D53" s="8">
        <f>D36-C36</f>
        <v>284600.00000000006</v>
      </c>
      <c r="E53" s="8">
        <f>E36-D36</f>
        <v>494054.40000000008</v>
      </c>
      <c r="F53" s="8">
        <f>F36-E36</f>
        <v>2575609.3440000014</v>
      </c>
      <c r="G53" s="8">
        <f>G36-F36</f>
        <v>8116662.4358400041</v>
      </c>
      <c r="H53" s="8"/>
    </row>
    <row r="54" spans="2:8" x14ac:dyDescent="0.2">
      <c r="B54" s="2" t="s">
        <v>46</v>
      </c>
      <c r="C54" s="2">
        <f>-(C26)</f>
        <v>-32558</v>
      </c>
      <c r="D54" s="2">
        <f>-(D26-C26)</f>
        <v>-4776.4000000000015</v>
      </c>
      <c r="E54" s="2">
        <f>-(E26-D26)</f>
        <v>-24280.799999999996</v>
      </c>
      <c r="F54" s="2">
        <f>-(F26-E26)</f>
        <v>-10625.199999999997</v>
      </c>
      <c r="G54" s="2">
        <f>-(G26-F26)</f>
        <v>-14204.600000000006</v>
      </c>
      <c r="H54" s="2"/>
    </row>
    <row r="55" spans="2:8" x14ac:dyDescent="0.2">
      <c r="B55" s="94" t="s">
        <v>47</v>
      </c>
      <c r="C55" s="95">
        <f>SUM(C48:C54)</f>
        <v>-779418</v>
      </c>
      <c r="D55" s="95">
        <f>SUM(D48:D54)</f>
        <v>-15782.100961291384</v>
      </c>
      <c r="E55" s="95">
        <f>SUM(E48:E54)</f>
        <v>221301.11726640351</v>
      </c>
      <c r="F55" s="95">
        <f>SUM(F48:F54)</f>
        <v>4557880.6463129269</v>
      </c>
      <c r="G55" s="95">
        <f>SUM(G48:G54)</f>
        <v>19785610.707520615</v>
      </c>
      <c r="H55" s="2"/>
    </row>
    <row r="56" spans="2:8" x14ac:dyDescent="0.2">
      <c r="B56" s="2"/>
    </row>
    <row r="57" spans="2:8" x14ac:dyDescent="0.2">
      <c r="B57" s="2"/>
    </row>
    <row r="58" spans="2:8" ht="16.5" thickBot="1" x14ac:dyDescent="0.3">
      <c r="B58" s="92" t="s">
        <v>139</v>
      </c>
      <c r="C58" s="92" t="s">
        <v>152</v>
      </c>
      <c r="D58" s="111" t="s">
        <v>150</v>
      </c>
      <c r="E58" s="111" t="s">
        <v>151</v>
      </c>
    </row>
    <row r="59" spans="2:8" x14ac:dyDescent="0.2">
      <c r="B59" s="2"/>
    </row>
    <row r="60" spans="2:8" x14ac:dyDescent="0.2">
      <c r="B60" s="2" t="s">
        <v>52</v>
      </c>
      <c r="C60" s="49">
        <v>0.8</v>
      </c>
      <c r="D60" s="49">
        <v>0.6</v>
      </c>
      <c r="E60" s="49">
        <v>0.6</v>
      </c>
    </row>
    <row r="61" spans="2:8" x14ac:dyDescent="0.2">
      <c r="B61" s="2" t="s">
        <v>69</v>
      </c>
      <c r="C61" s="56">
        <v>2.5000000000000001E-2</v>
      </c>
      <c r="D61" s="56">
        <v>2.5000000000000001E-2</v>
      </c>
      <c r="E61" s="56">
        <v>2.5000000000000001E-2</v>
      </c>
    </row>
    <row r="62" spans="2:8" x14ac:dyDescent="0.2">
      <c r="B62" s="2" t="s">
        <v>53</v>
      </c>
      <c r="C62" s="56">
        <v>0.02</v>
      </c>
      <c r="D62" s="56">
        <v>0.02</v>
      </c>
      <c r="E62" s="56">
        <v>0.02</v>
      </c>
    </row>
    <row r="63" spans="2:8" x14ac:dyDescent="0.2">
      <c r="B63" s="2" t="s">
        <v>69</v>
      </c>
      <c r="C63" s="56">
        <v>0.01</v>
      </c>
      <c r="D63" s="56">
        <v>0.01</v>
      </c>
      <c r="E63" s="56">
        <v>0.01</v>
      </c>
    </row>
    <row r="64" spans="2:8" x14ac:dyDescent="0.2">
      <c r="B64" s="2" t="s">
        <v>75</v>
      </c>
      <c r="C64" s="55">
        <v>5</v>
      </c>
      <c r="D64" s="55">
        <v>4</v>
      </c>
      <c r="E64" s="55">
        <v>3</v>
      </c>
    </row>
    <row r="65" spans="2:5" x14ac:dyDescent="0.2">
      <c r="B65" s="2"/>
    </row>
    <row r="66" spans="2:5" x14ac:dyDescent="0.2">
      <c r="B66" s="2" t="s">
        <v>54</v>
      </c>
      <c r="C66" s="7">
        <f>NPV(C60,C55:G55)*(1+C60)^0.5</f>
        <v>1450776.7544897997</v>
      </c>
      <c r="D66" s="7">
        <f>NPV(D60,D55:G55)*(1+D60)^0.5</f>
        <v>5323239.5385059593</v>
      </c>
      <c r="E66" s="7">
        <f>NPV(E60,E55:G55)*(1+E60)^0.5</f>
        <v>8537146.2157297004</v>
      </c>
    </row>
    <row r="67" spans="2:5" x14ac:dyDescent="0.2">
      <c r="B67" s="2" t="s">
        <v>55</v>
      </c>
      <c r="C67" s="7">
        <f>G55*(1+C62)/(C60-C62)/(1+C60)^(C64-0.5)</f>
        <v>1837082.9054264533</v>
      </c>
      <c r="D67" s="7">
        <f>G55*(1+D62)/(D60-D62)/(1+D60)^(D64-0.5)</f>
        <v>6715860.9985187752</v>
      </c>
      <c r="E67" s="7">
        <f>G55*(1+E62)/(E60-E62)/(1+E60)^(E64-0.5)</f>
        <v>10745377.597630041</v>
      </c>
    </row>
    <row r="68" spans="2:5" x14ac:dyDescent="0.2">
      <c r="B68" s="2" t="s">
        <v>48</v>
      </c>
      <c r="C68" s="8">
        <f>SUM(C66:C67)</f>
        <v>3287859.6599162528</v>
      </c>
      <c r="D68" s="8">
        <f>SUM(D66:D67)</f>
        <v>12039100.537024735</v>
      </c>
      <c r="E68" s="8">
        <f>SUM(E66:E67)</f>
        <v>19282523.813359741</v>
      </c>
    </row>
    <row r="69" spans="2:5" x14ac:dyDescent="0.2">
      <c r="B69" t="s">
        <v>56</v>
      </c>
      <c r="C69" s="7">
        <v>0</v>
      </c>
      <c r="D69" s="7">
        <v>0</v>
      </c>
      <c r="E69" s="7">
        <v>0</v>
      </c>
    </row>
    <row r="70" spans="2:5" x14ac:dyDescent="0.2">
      <c r="B70" s="96" t="s">
        <v>49</v>
      </c>
      <c r="C70" s="97">
        <f>C68-C69</f>
        <v>3287859.6599162528</v>
      </c>
      <c r="D70" s="97">
        <f>D68-D69</f>
        <v>12039100.537024735</v>
      </c>
      <c r="E70" s="97">
        <f>E68-E69</f>
        <v>19282523.813359741</v>
      </c>
    </row>
    <row r="73" spans="2:5" x14ac:dyDescent="0.2">
      <c r="B73" s="57" t="s">
        <v>86</v>
      </c>
      <c r="C73" s="25"/>
      <c r="D73" s="25"/>
    </row>
    <row r="74" spans="2:5" x14ac:dyDescent="0.2">
      <c r="B74" t="s">
        <v>87</v>
      </c>
      <c r="C74" s="15">
        <v>0.8</v>
      </c>
      <c r="D74" s="61" t="s">
        <v>91</v>
      </c>
    </row>
    <row r="75" spans="2:5" x14ac:dyDescent="0.2">
      <c r="B75" t="s">
        <v>88</v>
      </c>
      <c r="C75" s="15">
        <v>0.6</v>
      </c>
    </row>
    <row r="76" spans="2:5" x14ac:dyDescent="0.2">
      <c r="B76" t="s">
        <v>89</v>
      </c>
      <c r="C76" s="15">
        <v>0.4</v>
      </c>
    </row>
    <row r="77" spans="2:5" x14ac:dyDescent="0.2">
      <c r="B77" t="s">
        <v>90</v>
      </c>
      <c r="C77" s="15">
        <v>0.2</v>
      </c>
    </row>
  </sheetData>
  <phoneticPr fontId="8" type="noConversion"/>
  <pageMargins left="0.75" right="0.75" top="1" bottom="1" header="0.5" footer="0.5"/>
  <pageSetup orientation="portrait" horizontalDpi="4294967293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C3:J110"/>
  <sheetViews>
    <sheetView topLeftCell="C64" zoomScale="110" zoomScaleNormal="110" workbookViewId="0">
      <selection activeCell="C81" sqref="C81:G110"/>
    </sheetView>
  </sheetViews>
  <sheetFormatPr defaultRowHeight="12.75" x14ac:dyDescent="0.2"/>
  <cols>
    <col min="3" max="3" width="44.85546875" customWidth="1"/>
    <col min="4" max="4" width="16.7109375" customWidth="1"/>
    <col min="5" max="5" width="14.28515625" customWidth="1"/>
    <col min="6" max="6" width="13.28515625" customWidth="1"/>
    <col min="7" max="7" width="20" customWidth="1"/>
    <col min="8" max="8" width="13.28515625" customWidth="1"/>
    <col min="9" max="9" width="12.140625" customWidth="1"/>
  </cols>
  <sheetData>
    <row r="3" spans="3:10" ht="16.5" thickBot="1" x14ac:dyDescent="0.3">
      <c r="C3" s="92" t="s">
        <v>112</v>
      </c>
      <c r="D3" s="93">
        <f>Inputs!C7</f>
        <v>40178</v>
      </c>
      <c r="E3" s="93">
        <f>Inputs!D7</f>
        <v>40543</v>
      </c>
      <c r="F3" s="93">
        <f>Inputs!E7</f>
        <v>40908</v>
      </c>
      <c r="G3" s="93">
        <f>Inputs!F7</f>
        <v>41273</v>
      </c>
      <c r="H3" s="93">
        <f>Inputs!G7</f>
        <v>41638</v>
      </c>
    </row>
    <row r="4" spans="3:10" x14ac:dyDescent="0.2">
      <c r="D4" s="58"/>
      <c r="E4" s="58"/>
      <c r="F4" s="58"/>
      <c r="G4" s="58"/>
      <c r="H4" s="58"/>
    </row>
    <row r="5" spans="3:10" x14ac:dyDescent="0.2">
      <c r="C5" t="s">
        <v>115</v>
      </c>
      <c r="D5" s="7">
        <f>Inputs!C9</f>
        <v>980000</v>
      </c>
      <c r="E5" s="7">
        <f>Inputs!D9</f>
        <v>3000000</v>
      </c>
      <c r="F5" s="7">
        <f>Inputs!E9</f>
        <v>0</v>
      </c>
      <c r="G5" s="7">
        <f>Inputs!F9</f>
        <v>10000000</v>
      </c>
      <c r="H5" s="7">
        <f>Inputs!G9</f>
        <v>0</v>
      </c>
    </row>
    <row r="6" spans="3:10" x14ac:dyDescent="0.2">
      <c r="C6" t="s">
        <v>114</v>
      </c>
      <c r="D6" s="7">
        <f>Inputs!C9</f>
        <v>980000</v>
      </c>
      <c r="E6" s="192">
        <v>2000000</v>
      </c>
      <c r="F6" s="192"/>
      <c r="G6" s="192"/>
      <c r="H6" s="192"/>
    </row>
    <row r="7" spans="3:10" x14ac:dyDescent="0.2">
      <c r="C7" t="s">
        <v>144</v>
      </c>
      <c r="D7" s="7">
        <f>D5-D6</f>
        <v>0</v>
      </c>
      <c r="E7" s="7">
        <f>E5-E6</f>
        <v>1000000</v>
      </c>
      <c r="F7" s="7">
        <f>F5-F6</f>
        <v>0</v>
      </c>
      <c r="G7" s="7">
        <f>G5-G6</f>
        <v>10000000</v>
      </c>
      <c r="H7" s="7">
        <f>H5-H6</f>
        <v>0</v>
      </c>
      <c r="I7" s="8">
        <f>SUM(D7:H7)</f>
        <v>11000000</v>
      </c>
    </row>
    <row r="8" spans="3:10" x14ac:dyDescent="0.2">
      <c r="C8" t="s">
        <v>82</v>
      </c>
      <c r="D8" s="8">
        <f>D39</f>
        <v>3287859.6599162528</v>
      </c>
      <c r="E8" s="23">
        <f>Financials!D70</f>
        <v>12039100.537024735</v>
      </c>
      <c r="F8" s="23">
        <f>Financials!E70</f>
        <v>19282523.813359741</v>
      </c>
      <c r="G8" s="192">
        <v>50000000</v>
      </c>
      <c r="H8" s="192"/>
    </row>
    <row r="9" spans="3:10" x14ac:dyDescent="0.2">
      <c r="C9" t="s">
        <v>130</v>
      </c>
      <c r="D9" s="8"/>
      <c r="E9" s="8">
        <f>D8</f>
        <v>3287859.6599162528</v>
      </c>
      <c r="F9" s="8">
        <f>IF(E8&gt;0,E8,E9)</f>
        <v>12039100.537024735</v>
      </c>
      <c r="G9" s="8">
        <f>IF(F8&gt;0,F8,F9)</f>
        <v>19282523.813359741</v>
      </c>
      <c r="H9" s="8">
        <f>IF(G8&gt;0,G8,G9)</f>
        <v>50000000</v>
      </c>
    </row>
    <row r="10" spans="3:10" x14ac:dyDescent="0.2">
      <c r="D10" s="8"/>
      <c r="E10" s="8"/>
      <c r="F10" s="8"/>
      <c r="G10" s="8"/>
      <c r="H10" s="8"/>
    </row>
    <row r="11" spans="3:10" x14ac:dyDescent="0.2">
      <c r="C11" s="57" t="s">
        <v>122</v>
      </c>
      <c r="D11" s="98"/>
      <c r="E11" s="98"/>
      <c r="F11" s="98"/>
      <c r="G11" s="98"/>
      <c r="H11" s="98"/>
      <c r="J11" s="102"/>
    </row>
    <row r="12" spans="3:10" x14ac:dyDescent="0.2">
      <c r="C12" s="102" t="s">
        <v>142</v>
      </c>
      <c r="D12" s="113">
        <f>IF(SUM(D6:D7)&gt;0,SUM(D6:D7)/D8,0)</f>
        <v>0.298066250195412</v>
      </c>
      <c r="E12" s="103">
        <f>IF(SUM(E6:E7)&gt;0,SUM(E6:E7)/E8,0)</f>
        <v>0.24918805111510436</v>
      </c>
      <c r="F12" s="103">
        <f>IF(SUM(F6:F7)&gt;0,SUM(F6:F7)/F8,0)</f>
        <v>0</v>
      </c>
      <c r="G12" s="103">
        <f>IF(SUM(G6:G7)&gt;0,SUM(G6:G7)/G8,0)</f>
        <v>0.2</v>
      </c>
      <c r="H12" s="103">
        <f>IF(SUM(H6:H7)&gt;0,SUM(H6:H7)/H8,0)</f>
        <v>0</v>
      </c>
      <c r="J12" s="103"/>
    </row>
    <row r="13" spans="3:10" x14ac:dyDescent="0.2">
      <c r="C13" t="s">
        <v>113</v>
      </c>
      <c r="D13" s="65">
        <f>D6/D8</f>
        <v>0.298066250195412</v>
      </c>
      <c r="E13" s="103">
        <f>IF(E7&gt;0,D13*(1-E12)+E6/E8,IF(E6&gt;0,D13+E12,D13))</f>
        <v>0.38991706961609979</v>
      </c>
      <c r="F13" s="103">
        <f>IF(F7&gt;0,E13*(1-F12)+F6/F8,IF(F6&gt;0,E13+F12,E13))</f>
        <v>0.38991706961609979</v>
      </c>
      <c r="G13" s="103">
        <f>IF(G7&gt;0,F13*(1-G12)+G6/G8,IF(G6&gt;0,F13+G12,F13))</f>
        <v>0.31193365569287984</v>
      </c>
      <c r="H13" s="103">
        <f>IF(H7&gt;0,G13*(1-H12)+H6/H8,IF(H6&gt;0,G13+H12,G13))</f>
        <v>0.31193365569287984</v>
      </c>
      <c r="J13" s="103"/>
    </row>
    <row r="14" spans="3:10" x14ac:dyDescent="0.2">
      <c r="C14" t="s">
        <v>145</v>
      </c>
      <c r="D14" s="65">
        <f>IF(D8=0,0,D7/D8)</f>
        <v>0</v>
      </c>
      <c r="E14" s="103">
        <f>IF(E7=0,D14,E7/E8+D14*(1-E12))</f>
        <v>8.3062683705034793E-2</v>
      </c>
      <c r="F14" s="103">
        <f>IF(F7=0,E14,F7/F8+E14*(1-F12))</f>
        <v>8.3062683705034793E-2</v>
      </c>
      <c r="G14" s="103">
        <f>IF(G7=0,F14,G7/G8+F14*(1-G12))</f>
        <v>0.26645014696402786</v>
      </c>
      <c r="H14" s="103">
        <f>IF(H7=0,G14,H7/H8+G14*(1-H12))</f>
        <v>0.26645014696402786</v>
      </c>
      <c r="J14" s="103"/>
    </row>
    <row r="15" spans="3:10" x14ac:dyDescent="0.2">
      <c r="C15" t="s">
        <v>116</v>
      </c>
      <c r="D15" s="15">
        <f>1-(D13+D14)</f>
        <v>0.701933749804588</v>
      </c>
      <c r="E15" s="15">
        <f>1-(E13+E14)</f>
        <v>0.52702024667886538</v>
      </c>
      <c r="F15" s="15">
        <f>1-(F13+F14)</f>
        <v>0.52702024667886538</v>
      </c>
      <c r="G15" s="15">
        <f>1-(G13+G14)</f>
        <v>0.4216161973430923</v>
      </c>
      <c r="H15" s="15">
        <f>1-(H13+H14)</f>
        <v>0.4216161973430923</v>
      </c>
      <c r="J15" s="104"/>
    </row>
    <row r="16" spans="3:10" x14ac:dyDescent="0.2">
      <c r="C16" t="s">
        <v>117</v>
      </c>
      <c r="D16" s="104">
        <f>SUM(D13:D15)</f>
        <v>1</v>
      </c>
      <c r="E16" s="104">
        <f>SUM(E13:E15)</f>
        <v>1</v>
      </c>
      <c r="F16" s="104">
        <f>SUM(F13:F15)</f>
        <v>1</v>
      </c>
      <c r="G16" s="104">
        <f>SUM(G13:G15)</f>
        <v>1</v>
      </c>
      <c r="H16" s="104">
        <f>SUM(H13:H15)</f>
        <v>1</v>
      </c>
    </row>
    <row r="17" spans="3:10" x14ac:dyDescent="0.2">
      <c r="D17" s="15"/>
      <c r="E17" s="15"/>
      <c r="F17" s="15"/>
      <c r="G17" s="15"/>
      <c r="H17" s="15"/>
    </row>
    <row r="18" spans="3:10" x14ac:dyDescent="0.2">
      <c r="C18" s="57" t="s">
        <v>123</v>
      </c>
      <c r="D18" s="99"/>
      <c r="E18" s="99"/>
      <c r="F18" s="99"/>
      <c r="G18" s="99"/>
      <c r="H18" s="99"/>
    </row>
    <row r="19" spans="3:10" x14ac:dyDescent="0.2">
      <c r="C19" t="str">
        <f t="shared" ref="C19:D21" si="0">C13</f>
        <v>Seed investor equity</v>
      </c>
      <c r="D19" s="15">
        <f t="shared" si="0"/>
        <v>0.298066250195412</v>
      </c>
      <c r="E19" s="15">
        <f t="shared" ref="E19:H20" si="1">D19+IF(E6&gt;0,(E6/E$8),0)</f>
        <v>0.46419161760548155</v>
      </c>
      <c r="F19" s="15">
        <f t="shared" si="1"/>
        <v>0.46419161760548155</v>
      </c>
      <c r="G19" s="15">
        <f t="shared" si="1"/>
        <v>0.46419161760548155</v>
      </c>
      <c r="H19" s="15">
        <f t="shared" si="1"/>
        <v>0.46419161760548155</v>
      </c>
    </row>
    <row r="20" spans="3:10" x14ac:dyDescent="0.2">
      <c r="C20" t="str">
        <f t="shared" si="0"/>
        <v>Other investor(s) equity</v>
      </c>
      <c r="D20" s="15">
        <f t="shared" si="0"/>
        <v>0</v>
      </c>
      <c r="E20" s="15">
        <f t="shared" si="1"/>
        <v>8.3062683705034793E-2</v>
      </c>
      <c r="F20" s="15">
        <f t="shared" si="1"/>
        <v>8.3062683705034793E-2</v>
      </c>
      <c r="G20" s="15">
        <f t="shared" si="1"/>
        <v>0.28306268370503479</v>
      </c>
      <c r="H20" s="15">
        <f t="shared" si="1"/>
        <v>0.28306268370503479</v>
      </c>
    </row>
    <row r="21" spans="3:10" x14ac:dyDescent="0.2">
      <c r="C21" t="str">
        <f t="shared" si="0"/>
        <v>Founder equity</v>
      </c>
      <c r="D21" s="15">
        <f t="shared" si="0"/>
        <v>0.701933749804588</v>
      </c>
      <c r="E21" s="15">
        <f>1-(E19+E20)</f>
        <v>0.45274569868948367</v>
      </c>
      <c r="F21" s="15">
        <f>1-(F19+F20)</f>
        <v>0.45274569868948367</v>
      </c>
      <c r="G21" s="15">
        <f>1-(G19+G20)</f>
        <v>0.2527456986894836</v>
      </c>
      <c r="H21" s="15">
        <f>1-(H19+H20)</f>
        <v>0.2527456986894836</v>
      </c>
    </row>
    <row r="22" spans="3:10" x14ac:dyDescent="0.2">
      <c r="C22" t="str">
        <f>C16</f>
        <v>Total equity</v>
      </c>
      <c r="D22" s="15">
        <f>SUM(D19:D21)</f>
        <v>1</v>
      </c>
      <c r="E22" s="15">
        <f>SUM(E19:E21)</f>
        <v>1</v>
      </c>
      <c r="F22" s="15">
        <f>SUM(F19:F21)</f>
        <v>1</v>
      </c>
      <c r="G22" s="15">
        <f>SUM(G19:G21)</f>
        <v>1</v>
      </c>
      <c r="H22" s="15">
        <f>SUM(H19:H21)</f>
        <v>1</v>
      </c>
    </row>
    <row r="23" spans="3:10" x14ac:dyDescent="0.2">
      <c r="D23" s="15"/>
      <c r="E23" s="15"/>
      <c r="F23" s="15"/>
      <c r="G23" s="15"/>
      <c r="H23" s="15"/>
    </row>
    <row r="24" spans="3:10" x14ac:dyDescent="0.2">
      <c r="C24" s="57" t="s">
        <v>118</v>
      </c>
      <c r="D24" s="99"/>
      <c r="E24" s="99"/>
      <c r="F24" s="99"/>
      <c r="G24" s="99"/>
      <c r="H24" s="99"/>
    </row>
    <row r="25" spans="3:10" x14ac:dyDescent="0.2">
      <c r="C25" t="s">
        <v>61</v>
      </c>
      <c r="D25" s="106" t="str">
        <f>IF(D32&gt;0,IF(D8&gt;0,D8/D32,"NA"),"NA")</f>
        <v>NA</v>
      </c>
      <c r="E25" s="106">
        <f>IF(E32&gt;0,IF(E8&gt;0,E8/E32,"NA"),"NA")</f>
        <v>117.32060444786393</v>
      </c>
      <c r="F25" s="106">
        <f>IF(F32&gt;0,IF(F8&gt;0,F8/F32,"NA"),"NA")</f>
        <v>68.549832103768722</v>
      </c>
      <c r="G25" s="106">
        <f>IF(G32&gt;0,IF(G8&gt;0,G8/G32,"NA"),"NA")</f>
        <v>10.98852969799017</v>
      </c>
      <c r="H25" s="106" t="str">
        <f>IF(H32&gt;0,IF(H8&gt;0,H8/H32,"NA"),"NA")</f>
        <v>NA</v>
      </c>
    </row>
    <row r="26" spans="3:10" x14ac:dyDescent="0.2">
      <c r="C26" t="s">
        <v>119</v>
      </c>
      <c r="D26" s="106">
        <f>IF(D31&gt;0,IF(D8&gt;0,D8/D31,"NA"),"NA")</f>
        <v>6.5757193198325057</v>
      </c>
      <c r="E26" s="106">
        <f>IF(E31&gt;0,IF(E8&gt;0,E8/E31,"NA"),"NA")</f>
        <v>7.1661312720385313</v>
      </c>
      <c r="F26" s="106">
        <f>IF(F31&gt;0,IF(F8&gt;0,F8/F31,"NA"),"NA")</f>
        <v>6.0281999716635832</v>
      </c>
      <c r="G26" s="106">
        <f>IF(G31&gt;0,IF(G8&gt;0,G8/G31,"NA"),"NA")</f>
        <v>4.6521584824405933</v>
      </c>
      <c r="H26" s="106" t="str">
        <f>IF(H31&gt;0,IF(H8&gt;0,H8/H31,"NA"),"NA")</f>
        <v>NA</v>
      </c>
    </row>
    <row r="27" spans="3:10" x14ac:dyDescent="0.2">
      <c r="C27" t="s">
        <v>120</v>
      </c>
      <c r="D27" s="67" t="s">
        <v>131</v>
      </c>
      <c r="E27" s="67">
        <f>IF(E8&gt;0,E8/D8,"NA")</f>
        <v>3.6616832171393199</v>
      </c>
      <c r="F27" s="67">
        <f>IF(F8&gt;0,F8/F9,"NA")</f>
        <v>1.6016581765439015</v>
      </c>
      <c r="G27" s="67">
        <f>IF(G8&gt;0,G8/G9,"NA")</f>
        <v>2.5930215610758331</v>
      </c>
      <c r="H27" s="67" t="str">
        <f>IF(H8&gt;0,H8/H9,"NA")</f>
        <v>NA</v>
      </c>
    </row>
    <row r="29" spans="3:10" x14ac:dyDescent="0.2">
      <c r="D29" s="11"/>
      <c r="E29" s="11"/>
      <c r="F29" s="11"/>
      <c r="G29" s="11"/>
      <c r="I29" s="11"/>
    </row>
    <row r="30" spans="3:10" ht="16.5" thickBot="1" x14ac:dyDescent="0.3">
      <c r="C30" s="92" t="s">
        <v>140</v>
      </c>
      <c r="D30" s="93">
        <f>Financials!C2</f>
        <v>40178</v>
      </c>
      <c r="E30" s="93">
        <f>Financials!D2</f>
        <v>40543</v>
      </c>
      <c r="F30" s="93">
        <f>Financials!E2</f>
        <v>40908</v>
      </c>
      <c r="G30" s="93">
        <f>Financials!F2</f>
        <v>41273</v>
      </c>
      <c r="H30" s="93">
        <f>Financials!G2</f>
        <v>41638</v>
      </c>
      <c r="I30" s="100" t="s">
        <v>58</v>
      </c>
      <c r="J30" s="14"/>
    </row>
    <row r="31" spans="3:10" x14ac:dyDescent="0.2">
      <c r="C31" t="s">
        <v>129</v>
      </c>
      <c r="D31" s="66">
        <f>Financials!C4</f>
        <v>500000</v>
      </c>
      <c r="E31" s="66">
        <f>Financials!D4</f>
        <v>1680000.0000000002</v>
      </c>
      <c r="F31" s="66">
        <f>Financials!E4</f>
        <v>3198720.0000000005</v>
      </c>
      <c r="G31" s="66">
        <f>Financials!F4</f>
        <v>10747699.200000005</v>
      </c>
      <c r="H31" s="66">
        <f>Financials!G4</f>
        <v>36112269.312000021</v>
      </c>
      <c r="I31" s="58"/>
      <c r="J31" s="14"/>
    </row>
    <row r="32" spans="3:10" x14ac:dyDescent="0.2">
      <c r="C32" t="s">
        <v>59</v>
      </c>
      <c r="D32" s="2">
        <f>Financials!C48</f>
        <v>-680121.55918367347</v>
      </c>
      <c r="E32" s="2">
        <f>Financials!D48</f>
        <v>102617.10288387397</v>
      </c>
      <c r="F32" s="2">
        <f>Financials!E48</f>
        <v>281292.06478829042</v>
      </c>
      <c r="G32" s="2">
        <f>Financials!F48</f>
        <v>4550199.2872754512</v>
      </c>
      <c r="H32" s="2">
        <f>Financials!G48</f>
        <v>20108066.910269797</v>
      </c>
      <c r="I32" s="59"/>
    </row>
    <row r="33" spans="3:9" x14ac:dyDescent="0.2">
      <c r="C33" t="s">
        <v>127</v>
      </c>
      <c r="D33" s="8">
        <f>-D6</f>
        <v>-980000</v>
      </c>
      <c r="E33" s="8">
        <f>-E6</f>
        <v>-2000000</v>
      </c>
      <c r="F33" s="8">
        <f>-F6</f>
        <v>0</v>
      </c>
      <c r="G33" s="8">
        <f>-G6</f>
        <v>0</v>
      </c>
      <c r="H33" s="8">
        <f>D49</f>
        <v>50179062.561899915</v>
      </c>
      <c r="I33" s="8"/>
    </row>
    <row r="34" spans="3:9" x14ac:dyDescent="0.2">
      <c r="C34" t="s">
        <v>128</v>
      </c>
      <c r="D34" s="8">
        <f>-D37</f>
        <v>-980000</v>
      </c>
      <c r="E34" s="8">
        <f>-E37</f>
        <v>-2000000</v>
      </c>
      <c r="F34" s="8">
        <f>-F37</f>
        <v>0</v>
      </c>
      <c r="G34" s="8">
        <f>-G37</f>
        <v>0</v>
      </c>
      <c r="H34" s="8">
        <f>E49</f>
        <v>74671968.847979158</v>
      </c>
    </row>
    <row r="35" spans="3:9" x14ac:dyDescent="0.2">
      <c r="D35" s="16"/>
      <c r="E35" s="16"/>
    </row>
    <row r="37" spans="3:9" x14ac:dyDescent="0.2">
      <c r="C37" t="s">
        <v>114</v>
      </c>
      <c r="D37" s="53">
        <f>-D33</f>
        <v>980000</v>
      </c>
      <c r="E37" s="53">
        <f>-E33</f>
        <v>2000000</v>
      </c>
      <c r="F37" s="53">
        <f>-F33</f>
        <v>0</v>
      </c>
      <c r="G37" s="53">
        <f>-G33</f>
        <v>0</v>
      </c>
    </row>
    <row r="38" spans="3:9" x14ac:dyDescent="0.2">
      <c r="C38" t="s">
        <v>60</v>
      </c>
      <c r="D38" s="7">
        <f>IF(D37=0,Financials!C70,'Investor ROI and dilution'!D39-'Investor ROI and dilution'!D37)</f>
        <v>2307859.6599162528</v>
      </c>
      <c r="E38" s="8">
        <f>E39-E37</f>
        <v>10039100.537024735</v>
      </c>
    </row>
    <row r="39" spans="3:9" x14ac:dyDescent="0.2">
      <c r="C39" t="s">
        <v>82</v>
      </c>
      <c r="D39" s="8">
        <f>IF(D37&gt;0,Financials!C70,D37+D38)</f>
        <v>3287859.6599162528</v>
      </c>
      <c r="E39" s="8">
        <f>E8</f>
        <v>12039100.537024735</v>
      </c>
    </row>
    <row r="40" spans="3:9" x14ac:dyDescent="0.2">
      <c r="C40" t="s">
        <v>125</v>
      </c>
      <c r="D40" s="47">
        <f>D13</f>
        <v>0.298066250195412</v>
      </c>
      <c r="E40" s="47">
        <f>E13</f>
        <v>0.38991706961609979</v>
      </c>
      <c r="F40" s="47">
        <f>F13</f>
        <v>0.38991706961609979</v>
      </c>
      <c r="G40" s="47">
        <f>G13</f>
        <v>0.31193365569287984</v>
      </c>
      <c r="H40" s="47">
        <f>H13</f>
        <v>0.31193365569287984</v>
      </c>
    </row>
    <row r="41" spans="3:9" x14ac:dyDescent="0.2">
      <c r="C41" t="s">
        <v>124</v>
      </c>
      <c r="D41" s="47">
        <f>D19</f>
        <v>0.298066250195412</v>
      </c>
      <c r="E41" s="47">
        <f>E19</f>
        <v>0.46419161760548155</v>
      </c>
      <c r="F41" s="47">
        <f>F19</f>
        <v>0.46419161760548155</v>
      </c>
      <c r="G41" s="47">
        <f>G19</f>
        <v>0.46419161760548155</v>
      </c>
      <c r="H41" s="47">
        <f>H19</f>
        <v>0.46419161760548155</v>
      </c>
    </row>
    <row r="42" spans="3:9" x14ac:dyDescent="0.2">
      <c r="D42" s="47"/>
      <c r="E42" s="15"/>
    </row>
    <row r="43" spans="3:9" x14ac:dyDescent="0.2">
      <c r="D43" s="47"/>
      <c r="E43" s="253" t="str">
        <f>Comparables!A1</f>
        <v>Comparable Companies</v>
      </c>
      <c r="F43" s="16"/>
      <c r="G43" s="16"/>
    </row>
    <row r="44" spans="3:9" x14ac:dyDescent="0.2">
      <c r="C44" t="s">
        <v>61</v>
      </c>
      <c r="D44" s="54">
        <v>8</v>
      </c>
      <c r="E44">
        <f>Comparables!C48</f>
        <v>15</v>
      </c>
    </row>
    <row r="45" spans="3:9" x14ac:dyDescent="0.2">
      <c r="C45" t="s">
        <v>62</v>
      </c>
      <c r="D45" s="7">
        <f>H32*D44</f>
        <v>160864535.28215837</v>
      </c>
      <c r="E45" s="7">
        <v>1000000000</v>
      </c>
    </row>
    <row r="48" spans="3:9" x14ac:dyDescent="0.2">
      <c r="C48" s="57" t="s">
        <v>141</v>
      </c>
      <c r="D48" s="105" t="s">
        <v>143</v>
      </c>
      <c r="E48" s="101" t="s">
        <v>121</v>
      </c>
    </row>
    <row r="49" spans="3:9" x14ac:dyDescent="0.2">
      <c r="C49" t="s">
        <v>126</v>
      </c>
      <c r="D49" s="8">
        <f>D45*H40</f>
        <v>50179062.561899915</v>
      </c>
      <c r="E49" s="7">
        <f>D45*H41</f>
        <v>74671968.847979158</v>
      </c>
    </row>
    <row r="50" spans="3:9" x14ac:dyDescent="0.2">
      <c r="C50" t="s">
        <v>63</v>
      </c>
      <c r="D50" s="48">
        <f>D49/SUM(D37:H37)</f>
        <v>16.83861159795299</v>
      </c>
      <c r="E50" s="48">
        <f>E49/SUM(D37:H37)</f>
        <v>25.057707667107099</v>
      </c>
    </row>
    <row r="51" spans="3:9" x14ac:dyDescent="0.2">
      <c r="C51" t="s">
        <v>64</v>
      </c>
      <c r="D51" s="313">
        <f>IRR(D33:H33)</f>
        <v>1.2798900566178024</v>
      </c>
      <c r="E51" s="15">
        <f>IRR(D34:H34)</f>
        <v>1.5506954528581764</v>
      </c>
      <c r="I51" s="16"/>
    </row>
    <row r="52" spans="3:9" ht="13.5" thickBot="1" x14ac:dyDescent="0.25"/>
    <row r="53" spans="3:9" ht="16.5" thickBot="1" x14ac:dyDescent="0.3">
      <c r="C53" s="517" t="s">
        <v>97</v>
      </c>
      <c r="D53" s="518"/>
      <c r="E53" s="518"/>
    </row>
    <row r="54" spans="3:9" x14ac:dyDescent="0.2">
      <c r="D54" s="8"/>
    </row>
    <row r="55" spans="3:9" x14ac:dyDescent="0.2">
      <c r="C55" s="107" t="s">
        <v>82</v>
      </c>
      <c r="D55" s="133">
        <f>D39/1000000</f>
        <v>3.2878596599162528</v>
      </c>
      <c r="E55" t="s">
        <v>185</v>
      </c>
    </row>
    <row r="56" spans="3:9" x14ac:dyDescent="0.2">
      <c r="C56" s="107" t="s">
        <v>80</v>
      </c>
      <c r="D56" s="112">
        <f>D37/1000000</f>
        <v>0.98</v>
      </c>
      <c r="E56" t="s">
        <v>185</v>
      </c>
    </row>
    <row r="57" spans="3:9" x14ac:dyDescent="0.2">
      <c r="C57" s="107" t="s">
        <v>180</v>
      </c>
      <c r="D57" s="15">
        <f>D13</f>
        <v>0.298066250195412</v>
      </c>
    </row>
    <row r="58" spans="3:9" ht="13.5" thickBot="1" x14ac:dyDescent="0.25">
      <c r="D58" s="15"/>
    </row>
    <row r="59" spans="3:9" ht="16.5" thickBot="1" x14ac:dyDescent="0.3">
      <c r="C59" s="517" t="s">
        <v>186</v>
      </c>
      <c r="D59" s="518"/>
      <c r="E59" s="518"/>
    </row>
    <row r="60" spans="3:9" x14ac:dyDescent="0.2">
      <c r="D60" s="15"/>
    </row>
    <row r="61" spans="3:9" x14ac:dyDescent="0.2">
      <c r="C61" s="135" t="s">
        <v>181</v>
      </c>
      <c r="D61" s="112">
        <f>D45/1000000</f>
        <v>160.86453528215839</v>
      </c>
      <c r="E61" t="s">
        <v>185</v>
      </c>
    </row>
    <row r="62" spans="3:9" x14ac:dyDescent="0.2">
      <c r="C62" s="135" t="s">
        <v>182</v>
      </c>
      <c r="D62" s="8">
        <f>D44</f>
        <v>8</v>
      </c>
      <c r="E62" t="s">
        <v>183</v>
      </c>
    </row>
    <row r="63" spans="3:9" x14ac:dyDescent="0.2">
      <c r="C63" s="135" t="s">
        <v>140</v>
      </c>
      <c r="D63" s="134">
        <f>D50</f>
        <v>16.83861159795299</v>
      </c>
      <c r="E63" t="s">
        <v>184</v>
      </c>
    </row>
    <row r="64" spans="3:9" x14ac:dyDescent="0.2">
      <c r="C64" s="14"/>
      <c r="E64" s="15"/>
    </row>
    <row r="65" spans="3:7" x14ac:dyDescent="0.2">
      <c r="C65" s="14"/>
      <c r="E65" s="15"/>
    </row>
    <row r="66" spans="3:7" ht="13.5" thickBot="1" x14ac:dyDescent="0.25">
      <c r="C66" s="46"/>
    </row>
    <row r="67" spans="3:7" ht="15.75" x14ac:dyDescent="0.25">
      <c r="C67" s="519" t="s">
        <v>306</v>
      </c>
      <c r="D67" s="520" t="s">
        <v>307</v>
      </c>
      <c r="E67" s="521"/>
      <c r="F67" s="522" t="s">
        <v>311</v>
      </c>
      <c r="G67" s="521"/>
    </row>
    <row r="68" spans="3:7" ht="15.75" x14ac:dyDescent="0.25">
      <c r="C68" s="523"/>
      <c r="D68" s="524" t="s">
        <v>308</v>
      </c>
      <c r="E68" s="524"/>
      <c r="F68" s="523"/>
      <c r="G68" s="524"/>
    </row>
    <row r="69" spans="3:7" ht="16.5" thickBot="1" x14ac:dyDescent="0.3">
      <c r="C69" s="525"/>
      <c r="D69" s="526" t="s">
        <v>309</v>
      </c>
      <c r="E69" s="526" t="s">
        <v>310</v>
      </c>
      <c r="F69" s="527" t="s">
        <v>312</v>
      </c>
      <c r="G69" s="526" t="s">
        <v>313</v>
      </c>
    </row>
    <row r="70" spans="3:7" x14ac:dyDescent="0.2">
      <c r="C70" s="307">
        <v>2003</v>
      </c>
      <c r="D70">
        <v>119</v>
      </c>
      <c r="E70" s="133">
        <v>63</v>
      </c>
      <c r="F70">
        <v>29</v>
      </c>
      <c r="G70" s="133">
        <v>69.8</v>
      </c>
    </row>
    <row r="71" spans="3:7" x14ac:dyDescent="0.2">
      <c r="C71" s="307">
        <f>C70+1</f>
        <v>2004</v>
      </c>
      <c r="D71">
        <v>188</v>
      </c>
      <c r="E71" s="133">
        <v>85.3</v>
      </c>
      <c r="F71">
        <v>94</v>
      </c>
      <c r="G71" s="133">
        <v>121</v>
      </c>
    </row>
    <row r="72" spans="3:7" x14ac:dyDescent="0.2">
      <c r="C72" s="307">
        <f>C71+1</f>
        <v>2005</v>
      </c>
      <c r="D72">
        <v>165</v>
      </c>
      <c r="E72" s="133">
        <v>187</v>
      </c>
      <c r="F72">
        <v>57</v>
      </c>
      <c r="G72" s="133">
        <v>78.7</v>
      </c>
    </row>
    <row r="73" spans="3:7" x14ac:dyDescent="0.2">
      <c r="C73" s="307">
        <f>C72+1</f>
        <v>2006</v>
      </c>
      <c r="D73">
        <v>159</v>
      </c>
      <c r="E73" s="133">
        <v>105</v>
      </c>
      <c r="F73">
        <v>57</v>
      </c>
      <c r="G73" s="133">
        <v>89.8</v>
      </c>
    </row>
    <row r="74" spans="3:7" x14ac:dyDescent="0.2">
      <c r="C74" s="307">
        <f>C73+1</f>
        <v>2007</v>
      </c>
      <c r="D74">
        <v>165</v>
      </c>
      <c r="E74" s="133">
        <v>170.9</v>
      </c>
      <c r="F74">
        <v>86</v>
      </c>
      <c r="G74" s="133">
        <v>120.1</v>
      </c>
    </row>
    <row r="75" spans="3:7" x14ac:dyDescent="0.2">
      <c r="C75" s="307">
        <f>C74+1</f>
        <v>2008</v>
      </c>
      <c r="D75">
        <v>117</v>
      </c>
      <c r="E75" s="133">
        <v>120.5</v>
      </c>
      <c r="F75">
        <v>6</v>
      </c>
      <c r="G75" s="133">
        <v>78.400000000000006</v>
      </c>
    </row>
    <row r="76" spans="3:7" ht="13.5" thickBot="1" x14ac:dyDescent="0.25">
      <c r="C76" s="270" t="s">
        <v>314</v>
      </c>
      <c r="D76" s="109">
        <v>48</v>
      </c>
      <c r="E76" s="303">
        <v>92.4</v>
      </c>
      <c r="F76" s="109">
        <v>8</v>
      </c>
      <c r="G76" s="303">
        <v>161.6</v>
      </c>
    </row>
    <row r="77" spans="3:7" x14ac:dyDescent="0.2">
      <c r="C77" s="307" t="s">
        <v>315</v>
      </c>
      <c r="D77" s="302">
        <f>AVERAGE(D70:D76)</f>
        <v>137.28571428571428</v>
      </c>
      <c r="E77" s="133">
        <f>AVERAGE(E70:E76)</f>
        <v>117.72857142857143</v>
      </c>
      <c r="F77" s="302">
        <f>AVERAGE(F70:F76)</f>
        <v>48.142857142857146</v>
      </c>
      <c r="G77" s="133">
        <f>AVERAGE(G70:G76)</f>
        <v>102.77142857142857</v>
      </c>
    </row>
    <row r="79" spans="3:7" x14ac:dyDescent="0.2">
      <c r="C79" s="304" t="s">
        <v>316</v>
      </c>
    </row>
    <row r="80" spans="3:7" ht="13.5" thickBot="1" x14ac:dyDescent="0.25"/>
    <row r="81" spans="3:7" ht="13.5" thickBot="1" x14ac:dyDescent="0.25">
      <c r="C81" s="528" t="s">
        <v>333</v>
      </c>
      <c r="D81" s="529" t="s">
        <v>331</v>
      </c>
      <c r="E81" s="529"/>
      <c r="F81" s="529"/>
      <c r="G81" s="529" t="s">
        <v>331</v>
      </c>
    </row>
    <row r="82" spans="3:7" ht="13.5" thickBot="1" x14ac:dyDescent="0.25">
      <c r="C82" s="271">
        <v>0</v>
      </c>
      <c r="D82" s="308">
        <v>0.437</v>
      </c>
      <c r="E82" s="109"/>
      <c r="F82" s="291" t="s">
        <v>339</v>
      </c>
      <c r="G82" s="533">
        <v>0.49099999999999999</v>
      </c>
    </row>
    <row r="83" spans="3:7" x14ac:dyDescent="0.2">
      <c r="C83" s="306" t="s">
        <v>332</v>
      </c>
      <c r="D83" s="305">
        <v>8.2000000000000003E-2</v>
      </c>
      <c r="G83" s="533">
        <v>0.10680000000000001</v>
      </c>
    </row>
    <row r="84" spans="3:7" x14ac:dyDescent="0.2">
      <c r="C84" s="306" t="s">
        <v>319</v>
      </c>
      <c r="D84" s="305">
        <v>6.8000000000000005E-2</v>
      </c>
      <c r="G84" s="533">
        <v>7.6899999999999996E-2</v>
      </c>
    </row>
    <row r="85" spans="3:7" ht="13.5" thickBot="1" x14ac:dyDescent="0.25">
      <c r="C85" s="271" t="s">
        <v>320</v>
      </c>
      <c r="D85" s="308">
        <v>0.08</v>
      </c>
      <c r="E85" s="308">
        <f>SUM(D82:D85)</f>
        <v>0.66699999999999993</v>
      </c>
      <c r="F85" s="291" t="s">
        <v>335</v>
      </c>
      <c r="G85" s="533">
        <v>6.7400000000000002E-2</v>
      </c>
    </row>
    <row r="86" spans="3:7" x14ac:dyDescent="0.2">
      <c r="C86" s="306" t="s">
        <v>321</v>
      </c>
      <c r="D86" s="305">
        <v>3.1E-2</v>
      </c>
      <c r="G86" s="533">
        <v>3.5299999999999998E-2</v>
      </c>
    </row>
    <row r="87" spans="3:7" x14ac:dyDescent="0.2">
      <c r="C87" s="306" t="s">
        <v>322</v>
      </c>
      <c r="D87" s="305">
        <v>2.3E-2</v>
      </c>
      <c r="G87" s="533">
        <v>2.6200000000000001E-2</v>
      </c>
    </row>
    <row r="88" spans="3:7" x14ac:dyDescent="0.2">
      <c r="C88" s="306" t="s">
        <v>323</v>
      </c>
      <c r="D88" s="305">
        <v>4.1000000000000002E-2</v>
      </c>
      <c r="G88" s="533">
        <v>3.6499999999999998E-2</v>
      </c>
    </row>
    <row r="89" spans="3:7" ht="13.5" thickBot="1" x14ac:dyDescent="0.25">
      <c r="C89" s="271" t="s">
        <v>324</v>
      </c>
      <c r="D89" s="308">
        <v>4.7E-2</v>
      </c>
      <c r="E89" s="308">
        <f>SUM(D86:D89)</f>
        <v>0.14200000000000002</v>
      </c>
      <c r="F89" s="291" t="s">
        <v>336</v>
      </c>
      <c r="G89" s="533">
        <v>3.9900000000000005E-2</v>
      </c>
    </row>
    <row r="90" spans="3:7" x14ac:dyDescent="0.2">
      <c r="C90" s="306" t="s">
        <v>325</v>
      </c>
      <c r="D90" s="305">
        <v>8.5999999999999993E-2</v>
      </c>
      <c r="G90" s="533">
        <v>5.6600000000000004E-2</v>
      </c>
    </row>
    <row r="91" spans="3:7" ht="13.5" thickBot="1" x14ac:dyDescent="0.25">
      <c r="C91" s="271" t="s">
        <v>326</v>
      </c>
      <c r="D91" s="308">
        <v>5.0999999999999997E-2</v>
      </c>
      <c r="E91" s="308">
        <f>D90+D91</f>
        <v>0.13699999999999998</v>
      </c>
      <c r="F91" s="291" t="s">
        <v>337</v>
      </c>
      <c r="G91" s="533">
        <v>3.4099999999999998E-2</v>
      </c>
    </row>
    <row r="92" spans="3:7" x14ac:dyDescent="0.2">
      <c r="C92" s="306" t="s">
        <v>327</v>
      </c>
      <c r="D92" s="305">
        <v>3.7999999999999999E-2</v>
      </c>
      <c r="G92" s="533">
        <v>2.2400000000000003E-2</v>
      </c>
    </row>
    <row r="93" spans="3:7" x14ac:dyDescent="0.2">
      <c r="C93" s="306" t="s">
        <v>328</v>
      </c>
      <c r="D93" s="305">
        <v>1.0999999999999999E-2</v>
      </c>
      <c r="G93" s="533">
        <v>4.8999999999999998E-3</v>
      </c>
    </row>
    <row r="94" spans="3:7" ht="13.5" thickBot="1" x14ac:dyDescent="0.25">
      <c r="C94" s="271" t="s">
        <v>329</v>
      </c>
      <c r="D94" s="308">
        <v>5.0000000000000001E-3</v>
      </c>
      <c r="E94" s="308">
        <f>SUM(D92:D94)</f>
        <v>5.3999999999999999E-2</v>
      </c>
      <c r="F94" s="291" t="s">
        <v>338</v>
      </c>
      <c r="G94" s="533">
        <v>1.9E-3</v>
      </c>
    </row>
    <row r="95" spans="3:7" ht="13.5" thickBot="1" x14ac:dyDescent="0.25"/>
    <row r="96" spans="3:7" ht="13.5" thickBot="1" x14ac:dyDescent="0.25">
      <c r="C96" s="528" t="s">
        <v>334</v>
      </c>
      <c r="D96" s="529" t="s">
        <v>311</v>
      </c>
      <c r="E96" s="530" t="s">
        <v>317</v>
      </c>
      <c r="F96" s="529" t="s">
        <v>311</v>
      </c>
      <c r="G96" s="530" t="s">
        <v>317</v>
      </c>
    </row>
    <row r="97" spans="3:7" x14ac:dyDescent="0.2">
      <c r="C97" t="s">
        <v>318</v>
      </c>
      <c r="D97" s="305">
        <v>1.0999999999999999E-2</v>
      </c>
      <c r="E97" s="305">
        <v>0.16400000000000001</v>
      </c>
      <c r="F97" s="305">
        <v>7.0000000000000001E-3</v>
      </c>
      <c r="G97" s="305">
        <v>0.151</v>
      </c>
    </row>
    <row r="98" spans="3:7" x14ac:dyDescent="0.2">
      <c r="C98" t="s">
        <v>319</v>
      </c>
      <c r="D98" s="305">
        <v>1.2999999999999999E-2</v>
      </c>
      <c r="E98" s="305">
        <v>8.8999999999999996E-2</v>
      </c>
      <c r="F98" s="305">
        <v>1.6E-2</v>
      </c>
      <c r="G98" s="305">
        <v>9.2999999999999999E-2</v>
      </c>
    </row>
    <row r="99" spans="3:7" x14ac:dyDescent="0.2">
      <c r="C99" t="s">
        <v>320</v>
      </c>
      <c r="D99" s="305">
        <v>3.1E-2</v>
      </c>
      <c r="E99" s="305">
        <v>0.128</v>
      </c>
      <c r="F99" s="305">
        <v>3.9E-2</v>
      </c>
      <c r="G99" s="305">
        <v>0.13600000000000001</v>
      </c>
    </row>
    <row r="100" spans="3:7" x14ac:dyDescent="0.2">
      <c r="C100" t="s">
        <v>321</v>
      </c>
      <c r="D100" s="305">
        <v>5.7000000000000002E-2</v>
      </c>
      <c r="E100" s="305">
        <v>9.5000000000000001E-2</v>
      </c>
      <c r="F100" s="305">
        <v>6.5000000000000002E-2</v>
      </c>
      <c r="G100" s="305">
        <v>0.107</v>
      </c>
    </row>
    <row r="101" spans="3:7" x14ac:dyDescent="0.2">
      <c r="C101" t="s">
        <v>322</v>
      </c>
      <c r="D101" s="305">
        <v>4.9000000000000002E-2</v>
      </c>
      <c r="E101" s="305">
        <v>6.5000000000000002E-2</v>
      </c>
      <c r="F101" s="305">
        <v>6.6000000000000003E-2</v>
      </c>
      <c r="G101" s="305">
        <v>8.2000000000000003E-2</v>
      </c>
    </row>
    <row r="102" spans="3:7" x14ac:dyDescent="0.2">
      <c r="C102" t="s">
        <v>323</v>
      </c>
      <c r="D102" s="305">
        <v>9.9000000000000005E-2</v>
      </c>
      <c r="E102" s="305">
        <v>9.7000000000000003E-2</v>
      </c>
      <c r="F102" s="305">
        <v>0.121</v>
      </c>
      <c r="G102" s="305">
        <v>0.108</v>
      </c>
    </row>
    <row r="103" spans="3:7" x14ac:dyDescent="0.2">
      <c r="C103" t="s">
        <v>324</v>
      </c>
      <c r="D103" s="305">
        <v>0.129</v>
      </c>
      <c r="E103" s="305">
        <v>9.5000000000000001E-2</v>
      </c>
      <c r="F103" s="15">
        <v>0.15</v>
      </c>
      <c r="G103" s="305">
        <v>0.114</v>
      </c>
    </row>
    <row r="104" spans="3:7" x14ac:dyDescent="0.2">
      <c r="C104" t="s">
        <v>325</v>
      </c>
      <c r="D104" s="305">
        <v>0.25800000000000001</v>
      </c>
      <c r="E104" s="305">
        <v>0.14299999999999999</v>
      </c>
      <c r="F104" s="305">
        <v>0.24299999999999999</v>
      </c>
      <c r="G104" s="305">
        <v>0.114</v>
      </c>
    </row>
    <row r="105" spans="3:7" x14ac:dyDescent="0.2">
      <c r="C105" t="s">
        <v>326</v>
      </c>
      <c r="D105" s="305">
        <v>0.16200000000000001</v>
      </c>
      <c r="E105" s="305">
        <v>7.2999999999999995E-2</v>
      </c>
      <c r="F105" s="305">
        <v>0.156</v>
      </c>
      <c r="G105" s="305">
        <v>5.6000000000000001E-2</v>
      </c>
    </row>
    <row r="106" spans="3:7" x14ac:dyDescent="0.2">
      <c r="C106" t="s">
        <v>327</v>
      </c>
      <c r="D106" s="305">
        <v>0.13900000000000001</v>
      </c>
      <c r="E106" s="305">
        <v>3.4000000000000002E-2</v>
      </c>
      <c r="F106" s="305">
        <v>0.105</v>
      </c>
      <c r="G106" s="15">
        <v>0.03</v>
      </c>
    </row>
    <row r="107" spans="3:7" x14ac:dyDescent="0.2">
      <c r="C107" t="s">
        <v>328</v>
      </c>
      <c r="D107" s="305">
        <v>3.5999999999999997E-2</v>
      </c>
      <c r="E107" s="305">
        <v>1.2999999999999999E-2</v>
      </c>
      <c r="F107" s="305">
        <v>2.4E-2</v>
      </c>
      <c r="G107" s="305">
        <v>6.0000000000000001E-3</v>
      </c>
    </row>
    <row r="108" spans="3:7" x14ac:dyDescent="0.2">
      <c r="C108" t="s">
        <v>329</v>
      </c>
      <c r="D108" s="305">
        <v>1.7000000000000001E-2</v>
      </c>
      <c r="E108" s="305">
        <v>4.0000000000000001E-3</v>
      </c>
      <c r="F108" s="305">
        <v>8.0000000000000002E-3</v>
      </c>
      <c r="G108" s="305">
        <v>3.0000000000000001E-3</v>
      </c>
    </row>
    <row r="109" spans="3:7" x14ac:dyDescent="0.2">
      <c r="D109" s="305"/>
    </row>
    <row r="110" spans="3:7" x14ac:dyDescent="0.2">
      <c r="C110" s="304" t="s">
        <v>330</v>
      </c>
    </row>
  </sheetData>
  <phoneticPr fontId="8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B3:M22"/>
  <sheetViews>
    <sheetView workbookViewId="0">
      <selection activeCell="A7" sqref="A7"/>
    </sheetView>
  </sheetViews>
  <sheetFormatPr defaultRowHeight="12.75" x14ac:dyDescent="0.2"/>
  <cols>
    <col min="1" max="1" width="4.140625" customWidth="1"/>
    <col min="2" max="2" width="11.85546875" customWidth="1"/>
    <col min="3" max="3" width="15.85546875" customWidth="1"/>
    <col min="4" max="4" width="7.140625" customWidth="1"/>
    <col min="5" max="5" width="10.140625" customWidth="1"/>
    <col min="6" max="6" width="12.28515625" customWidth="1"/>
    <col min="7" max="7" width="11.28515625" bestFit="1" customWidth="1"/>
    <col min="8" max="8" width="11.85546875" customWidth="1"/>
    <col min="9" max="9" width="5.5703125" customWidth="1"/>
    <col min="11" max="11" width="11.42578125" customWidth="1"/>
    <col min="12" max="12" width="12.5703125" customWidth="1"/>
    <col min="13" max="13" width="12.140625" customWidth="1"/>
  </cols>
  <sheetData>
    <row r="3" spans="2:13" x14ac:dyDescent="0.2">
      <c r="B3" s="24" t="s">
        <v>65</v>
      </c>
      <c r="C3" s="11"/>
      <c r="D3" s="32" t="s">
        <v>68</v>
      </c>
      <c r="E3" s="31" t="s">
        <v>67</v>
      </c>
      <c r="G3" s="28"/>
      <c r="H3" s="9"/>
      <c r="I3" s="34" t="s">
        <v>70</v>
      </c>
      <c r="J3" s="35" t="s">
        <v>72</v>
      </c>
    </row>
    <row r="4" spans="2:13" x14ac:dyDescent="0.2">
      <c r="B4" s="24" t="s">
        <v>66</v>
      </c>
      <c r="C4" s="11"/>
      <c r="F4" s="44" t="s">
        <v>76</v>
      </c>
      <c r="G4" s="28"/>
      <c r="H4" s="9"/>
      <c r="K4" s="44" t="str">
        <f>F4</f>
        <v>TV by terminal FCF growth</v>
      </c>
      <c r="L4" s="9"/>
      <c r="M4" s="9"/>
    </row>
    <row r="5" spans="2:13" x14ac:dyDescent="0.2">
      <c r="B5" s="10" t="s">
        <v>57</v>
      </c>
      <c r="C5" s="25"/>
      <c r="E5" s="10" t="str">
        <f>B5</f>
        <v>WACC</v>
      </c>
      <c r="F5" s="33">
        <f>G5-Financials!C63</f>
        <v>0.01</v>
      </c>
      <c r="G5" s="33">
        <f>Financials!C62</f>
        <v>0.02</v>
      </c>
      <c r="H5" s="33">
        <f>G5+Financials!C63</f>
        <v>0.03</v>
      </c>
      <c r="J5" s="10" t="s">
        <v>57</v>
      </c>
      <c r="K5" s="36">
        <f>F5</f>
        <v>0.01</v>
      </c>
      <c r="L5" s="36">
        <f>G5</f>
        <v>0.02</v>
      </c>
      <c r="M5" s="36">
        <f>H5</f>
        <v>0.03</v>
      </c>
    </row>
    <row r="6" spans="2:13" x14ac:dyDescent="0.2">
      <c r="B6" s="11"/>
      <c r="E6" s="11"/>
      <c r="F6" s="29"/>
      <c r="G6" s="29"/>
      <c r="H6" s="29"/>
      <c r="J6" s="11"/>
      <c r="K6" s="12"/>
      <c r="L6" s="12"/>
      <c r="M6" s="12"/>
    </row>
    <row r="7" spans="2:13" x14ac:dyDescent="0.2">
      <c r="B7" s="13">
        <f>B8+Financials!C61</f>
        <v>0.85000000000000009</v>
      </c>
      <c r="C7" s="7">
        <f>NPV(B7,Financials!$C$55:$G$55)*(1+B7)^0.5</f>
        <v>1239350.7569612479</v>
      </c>
      <c r="E7" s="30">
        <f>B7</f>
        <v>0.85000000000000009</v>
      </c>
      <c r="F7" s="7">
        <f>Financials!$G$55*(1+F$5)/($E7-F$5)/(1+$E7)^4.5</f>
        <v>1493202.7110459623</v>
      </c>
      <c r="G7" s="7">
        <f>Financials!$G$55*(1+G$5)/($E7-G$5)/(1+$E7)^4.5</f>
        <v>1526155.4131267809</v>
      </c>
      <c r="H7" s="7">
        <f>Financials!$G$55*(1+H$5)/($E7-H$5)/(1+$E7)^4.5</f>
        <v>1559911.8396485953</v>
      </c>
      <c r="J7" s="13">
        <f>E7</f>
        <v>0.85000000000000009</v>
      </c>
      <c r="K7" s="7">
        <f>C7+F7</f>
        <v>2732553.4680072102</v>
      </c>
      <c r="L7" s="7">
        <f>C7+G7</f>
        <v>2765506.1700880285</v>
      </c>
      <c r="M7" s="7">
        <f>C7+H7</f>
        <v>2799262.596609843</v>
      </c>
    </row>
    <row r="8" spans="2:13" x14ac:dyDescent="0.2">
      <c r="B8" s="13">
        <f>B9+Financials!C61</f>
        <v>0.82500000000000007</v>
      </c>
      <c r="C8" s="7">
        <f>NPV(B8,Financials!$C$55:$G$55)*(1+B8)^0.5</f>
        <v>1341177.212145655</v>
      </c>
      <c r="E8" s="30">
        <f>B8</f>
        <v>0.82500000000000007</v>
      </c>
      <c r="F8" s="7">
        <f>Financials!$G$55*(1+F$5)/($E8-F$5)/(1+$E8)^4.5</f>
        <v>1636177.1201958661</v>
      </c>
      <c r="G8" s="7">
        <f>Financials!$G$55*(1+G$5)/($E8-G$5)/(1+$E8)^4.5</f>
        <v>1672903.3147024456</v>
      </c>
      <c r="H8" s="7">
        <f>Financials!$G$55*(1+H$5)/($E8-H$5)/(1+$E8)^4.5</f>
        <v>1710553.4386305746</v>
      </c>
      <c r="J8" s="13">
        <f>E8</f>
        <v>0.82500000000000007</v>
      </c>
      <c r="K8" s="7">
        <f>C8+F8</f>
        <v>2977354.332341521</v>
      </c>
      <c r="L8" s="7">
        <f>C8+G8</f>
        <v>3014080.5268481006</v>
      </c>
      <c r="M8" s="7">
        <f>C8+H8</f>
        <v>3051730.6507762298</v>
      </c>
    </row>
    <row r="9" spans="2:13" x14ac:dyDescent="0.2">
      <c r="B9" s="13">
        <f>Financials!C60</f>
        <v>0.8</v>
      </c>
      <c r="C9" s="7">
        <f>NPV(B9,Financials!$C$55:$G$55)*(1+B9)^0.5</f>
        <v>1450776.7544897997</v>
      </c>
      <c r="E9" s="30">
        <f>B9</f>
        <v>0.8</v>
      </c>
      <c r="F9" s="7">
        <f>Financials!$G$55*(1+F$5)/($E9-F$5)/(1+$E9)^4.5</f>
        <v>1796046.0572039711</v>
      </c>
      <c r="G9" s="7">
        <f>Financials!$G$55*(1+G$5)/($E9-G$5)/(1+$E9)^4.5</f>
        <v>1837082.9054264533</v>
      </c>
      <c r="H9" s="7">
        <f>Financials!$G$55*(1+H$5)/($E9-H$5)/(1+$E9)^4.5</f>
        <v>1879185.6458105587</v>
      </c>
      <c r="J9" s="13">
        <f>E9</f>
        <v>0.8</v>
      </c>
      <c r="K9" s="7">
        <f>C9+F9</f>
        <v>3246822.8116937708</v>
      </c>
      <c r="L9" s="7">
        <f>C9+G9</f>
        <v>3287859.6599162528</v>
      </c>
      <c r="M9" s="7">
        <f>C9+H9</f>
        <v>3329962.4003003584</v>
      </c>
    </row>
    <row r="10" spans="2:13" x14ac:dyDescent="0.2">
      <c r="B10" s="13">
        <f>B9-Financials!C61</f>
        <v>0.77500000000000002</v>
      </c>
      <c r="C10" s="7">
        <f>NPV(B10,Financials!$C$55:$G$55)*(1+B10)^0.5</f>
        <v>1568856.629323669</v>
      </c>
      <c r="E10" s="30">
        <f>B10</f>
        <v>0.77500000000000002</v>
      </c>
      <c r="F10" s="7">
        <f>Financials!$G$55*(1+F$5)/($E10-F$5)/(1+$E10)^4.5</f>
        <v>1975225.9846106335</v>
      </c>
      <c r="G10" s="7">
        <f>Financials!$G$55*(1+G$5)/($E10-G$5)/(1+$E10)^4.5</f>
        <v>2021203.6401438296</v>
      </c>
      <c r="H10" s="7">
        <f>Financials!$G$55*(1+H$5)/($E10-H$5)/(1+$E10)^4.5</f>
        <v>2068415.5951544272</v>
      </c>
      <c r="J10" s="13">
        <f>E10</f>
        <v>0.77500000000000002</v>
      </c>
      <c r="K10" s="7">
        <f>C10+F10</f>
        <v>3544082.6139343027</v>
      </c>
      <c r="L10" s="7">
        <f>C10+G10</f>
        <v>3590060.2694674986</v>
      </c>
      <c r="M10" s="7">
        <f>C10+H10</f>
        <v>3637272.2244780962</v>
      </c>
    </row>
    <row r="11" spans="2:13" x14ac:dyDescent="0.2">
      <c r="B11" s="13">
        <f>B10-Financials!C61</f>
        <v>0.75</v>
      </c>
      <c r="C11" s="7">
        <f>NPV(B11,Financials!$C$55:$G$55)*(1+B11)^0.5</f>
        <v>1696199.8034808945</v>
      </c>
      <c r="E11" s="30">
        <f>B11</f>
        <v>0.75</v>
      </c>
      <c r="F11" s="7">
        <f>Financials!$G$55*(1+F$5)/($E11-F$5)/(1+$E11)^4.5</f>
        <v>2176546.2238592925</v>
      </c>
      <c r="G11" s="7">
        <f>Financials!$G$55*(1+G$5)/($E11-G$5)/(1+$E11)^4.5</f>
        <v>2228207.0931357574</v>
      </c>
      <c r="H11" s="7">
        <f>Financials!$G$55*(1+H$5)/($E11-H$5)/(1+$E11)^4.5</f>
        <v>2281302.9865587908</v>
      </c>
      <c r="J11" s="13">
        <f>E11</f>
        <v>0.75</v>
      </c>
      <c r="K11" s="7">
        <f>C11+F11</f>
        <v>3872746.0273401868</v>
      </c>
      <c r="L11" s="7">
        <f>C11+G11</f>
        <v>3924406.8966166517</v>
      </c>
      <c r="M11" s="7">
        <f>C11+H11</f>
        <v>3977502.7900396856</v>
      </c>
    </row>
    <row r="12" spans="2:13" x14ac:dyDescent="0.2">
      <c r="G12" s="27"/>
      <c r="H12" s="26"/>
      <c r="I12" s="26"/>
      <c r="J12" s="26"/>
    </row>
    <row r="13" spans="2:13" ht="15" x14ac:dyDescent="0.2">
      <c r="B13" s="37" t="s">
        <v>71</v>
      </c>
      <c r="C13" s="42" t="s">
        <v>73</v>
      </c>
      <c r="D13" s="34" t="s">
        <v>70</v>
      </c>
      <c r="E13" s="38" t="s">
        <v>74</v>
      </c>
      <c r="F13" s="11"/>
      <c r="G13" s="11"/>
      <c r="H13" s="11"/>
    </row>
    <row r="14" spans="2:13" x14ac:dyDescent="0.2">
      <c r="F14" s="45" t="str">
        <f>F4</f>
        <v>TV by terminal FCF growth</v>
      </c>
      <c r="G14" s="9"/>
      <c r="H14" s="9"/>
    </row>
    <row r="15" spans="2:13" x14ac:dyDescent="0.2">
      <c r="C15" s="25"/>
      <c r="E15" s="10" t="s">
        <v>57</v>
      </c>
      <c r="F15" s="36">
        <f>F5</f>
        <v>0.01</v>
      </c>
      <c r="G15" s="36">
        <f>G5</f>
        <v>0.02</v>
      </c>
      <c r="H15" s="36">
        <f>H5</f>
        <v>0.03</v>
      </c>
    </row>
    <row r="16" spans="2:13" x14ac:dyDescent="0.2">
      <c r="C16" s="39"/>
      <c r="E16" s="11"/>
      <c r="F16" s="12"/>
      <c r="G16" s="12"/>
      <c r="H16" s="12"/>
    </row>
    <row r="17" spans="3:8" x14ac:dyDescent="0.2">
      <c r="C17" s="43">
        <f>Financials!C69</f>
        <v>0</v>
      </c>
      <c r="D17" s="40"/>
      <c r="E17" s="13">
        <f>B7</f>
        <v>0.85000000000000009</v>
      </c>
      <c r="F17" s="8">
        <f>K7-$C$17</f>
        <v>2732553.4680072102</v>
      </c>
      <c r="G17" s="8">
        <f t="shared" ref="G17:H21" si="0">L7-$C$17</f>
        <v>2765506.1700880285</v>
      </c>
      <c r="H17" s="8">
        <f t="shared" si="0"/>
        <v>2799262.596609843</v>
      </c>
    </row>
    <row r="18" spans="3:8" x14ac:dyDescent="0.2">
      <c r="C18" s="41"/>
      <c r="D18" s="11"/>
      <c r="E18" s="13">
        <f>B8</f>
        <v>0.82500000000000007</v>
      </c>
      <c r="F18" s="8">
        <f>K8-$C$17</f>
        <v>2977354.332341521</v>
      </c>
      <c r="G18" s="8">
        <f t="shared" si="0"/>
        <v>3014080.5268481006</v>
      </c>
      <c r="H18" s="8">
        <f t="shared" si="0"/>
        <v>3051730.6507762298</v>
      </c>
    </row>
    <row r="19" spans="3:8" x14ac:dyDescent="0.2">
      <c r="D19" s="11"/>
      <c r="E19" s="13">
        <f>B9</f>
        <v>0.8</v>
      </c>
      <c r="F19" s="8">
        <f>K9-$C$17</f>
        <v>3246822.8116937708</v>
      </c>
      <c r="G19" s="8">
        <f t="shared" si="0"/>
        <v>3287859.6599162528</v>
      </c>
      <c r="H19" s="8">
        <f t="shared" si="0"/>
        <v>3329962.4003003584</v>
      </c>
    </row>
    <row r="20" spans="3:8" x14ac:dyDescent="0.2">
      <c r="D20" s="11"/>
      <c r="E20" s="13">
        <f>B10</f>
        <v>0.77500000000000002</v>
      </c>
      <c r="F20" s="8">
        <f>K10-$C$17</f>
        <v>3544082.6139343027</v>
      </c>
      <c r="G20" s="8">
        <f t="shared" si="0"/>
        <v>3590060.2694674986</v>
      </c>
      <c r="H20" s="8">
        <f t="shared" si="0"/>
        <v>3637272.2244780962</v>
      </c>
    </row>
    <row r="21" spans="3:8" x14ac:dyDescent="0.2">
      <c r="D21" s="11"/>
      <c r="E21" s="13">
        <f>B11</f>
        <v>0.75</v>
      </c>
      <c r="F21" s="8">
        <f>K11-$C$17</f>
        <v>3872746.0273401868</v>
      </c>
      <c r="G21" s="8">
        <f t="shared" si="0"/>
        <v>3924406.8966166517</v>
      </c>
      <c r="H21" s="8">
        <f t="shared" si="0"/>
        <v>3977502.7900396856</v>
      </c>
    </row>
    <row r="22" spans="3:8" x14ac:dyDescent="0.2">
      <c r="E22" s="26"/>
    </row>
  </sheetData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B3:M113"/>
  <sheetViews>
    <sheetView tabSelected="1" zoomScale="80" zoomScaleNormal="80" workbookViewId="0">
      <selection activeCell="P60" sqref="P60"/>
    </sheetView>
  </sheetViews>
  <sheetFormatPr defaultRowHeight="12.75" x14ac:dyDescent="0.2"/>
  <cols>
    <col min="2" max="2" width="24.140625" customWidth="1"/>
    <col min="3" max="3" width="14.140625" bestFit="1" customWidth="1"/>
    <col min="4" max="4" width="20.42578125" customWidth="1"/>
    <col min="5" max="5" width="15" bestFit="1" customWidth="1"/>
    <col min="6" max="6" width="12.5703125" customWidth="1"/>
    <col min="7" max="7" width="13.28515625" customWidth="1"/>
  </cols>
  <sheetData>
    <row r="3" spans="2:13" ht="13.5" thickBot="1" x14ac:dyDescent="0.25"/>
    <row r="4" spans="2:13" ht="18.75" customHeight="1" thickBot="1" x14ac:dyDescent="0.3">
      <c r="B4" s="311" t="s">
        <v>189</v>
      </c>
      <c r="C4" s="310">
        <f>Inputs!C7</f>
        <v>40178</v>
      </c>
      <c r="D4" s="310">
        <f>Inputs!D7</f>
        <v>40543</v>
      </c>
      <c r="E4" s="310">
        <f>Inputs!E7</f>
        <v>40908</v>
      </c>
      <c r="F4" s="310">
        <f>Inputs!F7</f>
        <v>41273</v>
      </c>
      <c r="G4" s="310">
        <f>Inputs!G7</f>
        <v>41638</v>
      </c>
    </row>
    <row r="5" spans="2:13" x14ac:dyDescent="0.2">
      <c r="B5" s="138" t="s">
        <v>156</v>
      </c>
      <c r="C5" s="140">
        <f>Financials!C4</f>
        <v>500000</v>
      </c>
      <c r="D5" s="140">
        <f>Financials!D4</f>
        <v>1680000.0000000002</v>
      </c>
      <c r="E5" s="140">
        <f>Financials!E4</f>
        <v>3198720.0000000005</v>
      </c>
      <c r="F5" s="140">
        <f>Financials!F4</f>
        <v>10747699.200000005</v>
      </c>
      <c r="G5" s="140">
        <f>Financials!G4</f>
        <v>36112269.312000021</v>
      </c>
    </row>
    <row r="6" spans="2:13" x14ac:dyDescent="0.2">
      <c r="B6" s="139" t="s">
        <v>158</v>
      </c>
      <c r="C6" s="141">
        <f>Financials!C14</f>
        <v>-680121.55918367347</v>
      </c>
      <c r="D6" s="141">
        <f>Financials!D14</f>
        <v>102617.10288387397</v>
      </c>
      <c r="E6" s="141">
        <f>Financials!E14</f>
        <v>281292.06478829042</v>
      </c>
      <c r="F6" s="141">
        <f>Financials!F14</f>
        <v>4550199.2872754512</v>
      </c>
      <c r="G6" s="141">
        <f>Financials!G14</f>
        <v>20108066.910269797</v>
      </c>
    </row>
    <row r="7" spans="2:13" x14ac:dyDescent="0.2">
      <c r="B7" s="139" t="s">
        <v>157</v>
      </c>
      <c r="C7" s="141">
        <f>Financials!C55</f>
        <v>-779418</v>
      </c>
      <c r="D7" s="141">
        <f>Financials!D55</f>
        <v>-15782.100961291384</v>
      </c>
      <c r="E7" s="141">
        <f>Financials!E55</f>
        <v>221301.11726640351</v>
      </c>
      <c r="F7" s="141">
        <f>Financials!F55</f>
        <v>4557880.6463129269</v>
      </c>
      <c r="G7" s="141">
        <f>Financials!G55</f>
        <v>19785610.707520615</v>
      </c>
    </row>
    <row r="8" spans="2:13" ht="12" customHeight="1" x14ac:dyDescent="0.2">
      <c r="B8" s="124"/>
      <c r="C8" s="125"/>
      <c r="D8" s="125"/>
      <c r="E8" s="125"/>
      <c r="F8" s="125"/>
      <c r="G8" s="125"/>
      <c r="M8" s="110"/>
    </row>
    <row r="9" spans="2:13" ht="12" customHeight="1" x14ac:dyDescent="0.2">
      <c r="B9" s="124"/>
      <c r="C9" s="124"/>
      <c r="D9" s="124"/>
      <c r="E9" s="124"/>
      <c r="F9" s="124"/>
      <c r="G9" s="124"/>
    </row>
    <row r="10" spans="2:13" ht="12" customHeight="1" x14ac:dyDescent="0.2">
      <c r="B10" s="124"/>
      <c r="C10" s="124"/>
      <c r="D10" s="124"/>
      <c r="E10" s="124"/>
      <c r="F10" s="124"/>
      <c r="G10" s="124"/>
    </row>
    <row r="40" spans="2:6" ht="13.5" thickBot="1" x14ac:dyDescent="0.25"/>
    <row r="41" spans="2:6" ht="16.5" thickBot="1" x14ac:dyDescent="0.3">
      <c r="B41" s="311" t="s">
        <v>169</v>
      </c>
      <c r="C41" s="495">
        <f>Inputs!C7</f>
        <v>40178</v>
      </c>
      <c r="D41" s="495">
        <f>Inputs!D7</f>
        <v>40543</v>
      </c>
    </row>
    <row r="42" spans="2:6" x14ac:dyDescent="0.2">
      <c r="B42" s="107" t="str">
        <f>Costing!A8</f>
        <v>Manpower</v>
      </c>
      <c r="C42" s="112">
        <f>Costing!B8</f>
        <v>830400</v>
      </c>
      <c r="D42" s="112">
        <f>Costing!C8</f>
        <v>1089600</v>
      </c>
      <c r="E42" t="s">
        <v>80</v>
      </c>
      <c r="F42" s="112">
        <f>Inputs!C9</f>
        <v>980000</v>
      </c>
    </row>
    <row r="43" spans="2:6" x14ac:dyDescent="0.2">
      <c r="B43" s="107" t="str">
        <f>Costing!A13</f>
        <v>Infrastructure</v>
      </c>
      <c r="C43" s="112">
        <f>Costing!B13</f>
        <v>47558</v>
      </c>
      <c r="D43" s="112">
        <f>Costing!C13</f>
        <v>13458</v>
      </c>
      <c r="E43" t="s">
        <v>187</v>
      </c>
      <c r="F43" s="112">
        <f>Costing!B43</f>
        <v>1209418</v>
      </c>
    </row>
    <row r="44" spans="2:6" x14ac:dyDescent="0.2">
      <c r="B44" s="107" t="str">
        <f>Costing!A17</f>
        <v>Professional services</v>
      </c>
      <c r="C44" s="112">
        <f>Costing!B17</f>
        <v>37700</v>
      </c>
      <c r="D44" s="112">
        <f>Costing!C17</f>
        <v>37000</v>
      </c>
      <c r="E44" t="s">
        <v>188</v>
      </c>
      <c r="F44" s="112">
        <f>IF(F43&lt;F42,F42,F43)</f>
        <v>1209418</v>
      </c>
    </row>
    <row r="45" spans="2:6" x14ac:dyDescent="0.2">
      <c r="B45" s="107" t="str">
        <f>Costing!A18</f>
        <v>Marketing and BizDev</v>
      </c>
      <c r="C45" s="112">
        <f>Costing!B18</f>
        <v>52000</v>
      </c>
      <c r="D45" s="112">
        <f>Costing!C18</f>
        <v>111000</v>
      </c>
    </row>
    <row r="46" spans="2:6" x14ac:dyDescent="0.2">
      <c r="B46" s="107" t="str">
        <f>Costing!A19</f>
        <v>R&amp;D</v>
      </c>
      <c r="C46" s="112">
        <f>Costing!B19</f>
        <v>80000</v>
      </c>
      <c r="D46" s="112">
        <f>Costing!C19</f>
        <v>80000</v>
      </c>
    </row>
    <row r="47" spans="2:6" x14ac:dyDescent="0.2">
      <c r="B47" s="107" t="s">
        <v>171</v>
      </c>
      <c r="C47" s="112">
        <f>Costing!B20</f>
        <v>111760</v>
      </c>
      <c r="D47" s="112">
        <f>Costing!C20</f>
        <v>90000</v>
      </c>
    </row>
    <row r="48" spans="2:6" ht="13.5" thickBot="1" x14ac:dyDescent="0.25">
      <c r="B48" s="275" t="s">
        <v>170</v>
      </c>
      <c r="C48" s="112">
        <f>Costing!B21</f>
        <v>50000</v>
      </c>
      <c r="D48" s="112">
        <f>Costing!C21</f>
        <v>168000</v>
      </c>
    </row>
    <row r="49" spans="2:4" ht="13.5" thickBot="1" x14ac:dyDescent="0.25">
      <c r="B49" s="136" t="str">
        <f>Costing!A43</f>
        <v>Total costs</v>
      </c>
      <c r="C49" s="137">
        <f>SUM(C42:C48)</f>
        <v>1209418</v>
      </c>
      <c r="D49" s="137">
        <f>SUM(D42:D48)</f>
        <v>1589058</v>
      </c>
    </row>
    <row r="72" spans="2:7" ht="13.5" thickBot="1" x14ac:dyDescent="0.25"/>
    <row r="73" spans="2:7" ht="16.5" thickBot="1" x14ac:dyDescent="0.3">
      <c r="B73" s="311" t="s">
        <v>168</v>
      </c>
      <c r="C73" s="310">
        <f>Inputs!C58</f>
        <v>40178</v>
      </c>
      <c r="D73" s="310">
        <f>Inputs!D58</f>
        <v>40543</v>
      </c>
      <c r="E73" s="310">
        <f>Inputs!E58</f>
        <v>40908</v>
      </c>
      <c r="F73" s="310">
        <f>Inputs!F58</f>
        <v>41273</v>
      </c>
      <c r="G73" s="310">
        <f>Inputs!G58</f>
        <v>41638</v>
      </c>
    </row>
    <row r="74" spans="2:7" x14ac:dyDescent="0.2">
      <c r="B74" s="142" t="str">
        <f>Revenue!A17</f>
        <v>Revenue Stream 1</v>
      </c>
      <c r="C74" s="273">
        <f>Revenue!B22</f>
        <v>2676900</v>
      </c>
      <c r="D74" s="273">
        <f>Revenue!C22</f>
        <v>8412200</v>
      </c>
      <c r="E74" s="273">
        <f>Revenue!D22</f>
        <v>18506840.000000004</v>
      </c>
      <c r="F74" s="273">
        <f>Revenue!E22</f>
        <v>34607815.000000007</v>
      </c>
      <c r="G74" s="273">
        <f>Revenue!F22</f>
        <v>60909754.400000021</v>
      </c>
    </row>
    <row r="75" spans="2:7" x14ac:dyDescent="0.2">
      <c r="B75" s="142" t="str">
        <f>Revenue!A23</f>
        <v>Revenue Stream 2</v>
      </c>
      <c r="C75" s="273">
        <f>Revenue!B28</f>
        <v>803070</v>
      </c>
      <c r="D75" s="273">
        <f>Revenue!C28</f>
        <v>2523660</v>
      </c>
      <c r="E75" s="273">
        <f>Revenue!D28</f>
        <v>4996860</v>
      </c>
      <c r="F75" s="273">
        <f>Revenue!E28</f>
        <v>9344128.2000000011</v>
      </c>
      <c r="G75" s="273">
        <f>Revenue!F28</f>
        <v>16445689.590000004</v>
      </c>
    </row>
    <row r="76" spans="2:7" x14ac:dyDescent="0.2">
      <c r="B76" s="142" t="str">
        <f>Revenue!A29</f>
        <v>Revenue Stream 3</v>
      </c>
      <c r="C76" s="273">
        <f>Revenue!B34</f>
        <v>171290</v>
      </c>
      <c r="D76" s="273">
        <f>Revenue!C34</f>
        <v>538340</v>
      </c>
      <c r="E76" s="273">
        <f>Revenue!D34</f>
        <v>1065922</v>
      </c>
      <c r="F76" s="273">
        <f>Revenue!E34</f>
        <v>1993281.4000000001</v>
      </c>
      <c r="G76" s="273">
        <f>Revenue!F34</f>
        <v>3508183.2500000005</v>
      </c>
    </row>
    <row r="77" spans="2:7" x14ac:dyDescent="0.2">
      <c r="B77" s="129"/>
      <c r="C77" s="129"/>
      <c r="D77" s="129"/>
      <c r="E77" s="129"/>
      <c r="F77" s="129"/>
      <c r="G77" s="129"/>
    </row>
    <row r="109" spans="2:6" ht="13.5" thickBot="1" x14ac:dyDescent="0.25"/>
    <row r="110" spans="2:6" ht="16.5" thickBot="1" x14ac:dyDescent="0.3">
      <c r="B110" s="311" t="s">
        <v>190</v>
      </c>
      <c r="C110" s="496" t="s">
        <v>262</v>
      </c>
      <c r="D110" s="497" t="str">
        <f>Inputs!H7</f>
        <v>Comparable Companies</v>
      </c>
      <c r="E110" s="497" t="str">
        <f>Inputs!I7</f>
        <v>S&amp;P</v>
      </c>
      <c r="F110" s="497" t="str">
        <f>Inputs!J7</f>
        <v>Tech</v>
      </c>
    </row>
    <row r="111" spans="2:6" x14ac:dyDescent="0.2">
      <c r="B111" s="143" t="str">
        <f>Inputs!B75</f>
        <v>Gross margin</v>
      </c>
      <c r="C111" s="144">
        <f>Inputs!G75</f>
        <v>0.81667307517205379</v>
      </c>
      <c r="D111" s="15">
        <f>Inputs!H75</f>
        <v>0.6</v>
      </c>
      <c r="E111" s="15">
        <f>Inputs!I75</f>
        <v>0.4</v>
      </c>
      <c r="F111" s="15">
        <f>Inputs!J75</f>
        <v>0.4</v>
      </c>
    </row>
    <row r="112" spans="2:6" x14ac:dyDescent="0.2">
      <c r="B112" s="143" t="str">
        <f>Inputs!B76</f>
        <v>Operating margin</v>
      </c>
      <c r="C112" s="144">
        <f>Inputs!G76</f>
        <v>0.72686815524407145</v>
      </c>
      <c r="D112" s="15">
        <f>Inputs!H76</f>
        <v>0.24944659999999999</v>
      </c>
      <c r="E112" s="15">
        <f>Inputs!I76</f>
        <v>0.5</v>
      </c>
      <c r="F112" s="15">
        <f>Inputs!J76</f>
        <v>0.5</v>
      </c>
    </row>
    <row r="113" spans="2:6" x14ac:dyDescent="0.2">
      <c r="B113" s="143" t="str">
        <f>Inputs!B77</f>
        <v>Net margin</v>
      </c>
      <c r="C113" s="144">
        <f>Inputs!G77</f>
        <v>0.5568209169172299</v>
      </c>
      <c r="D113" s="15">
        <f>Inputs!H77</f>
        <v>0.23944660000000001</v>
      </c>
      <c r="E113" s="15">
        <f>Inputs!I77</f>
        <v>0.2</v>
      </c>
      <c r="F113" s="15">
        <f>Inputs!J77</f>
        <v>0.2</v>
      </c>
    </row>
  </sheetData>
  <phoneticPr fontId="8" type="noConversion"/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B1:D44"/>
  <sheetViews>
    <sheetView topLeftCell="A24" zoomScale="120" zoomScaleNormal="120" workbookViewId="0">
      <selection activeCell="C29" sqref="C29"/>
    </sheetView>
  </sheetViews>
  <sheetFormatPr defaultRowHeight="12.75" x14ac:dyDescent="0.2"/>
  <cols>
    <col min="1" max="1" width="25.140625" customWidth="1"/>
    <col min="2" max="2" width="31.7109375" customWidth="1"/>
    <col min="3" max="3" width="22.5703125" customWidth="1"/>
  </cols>
  <sheetData>
    <row r="1" spans="2:4" x14ac:dyDescent="0.2">
      <c r="B1" s="276" t="s">
        <v>251</v>
      </c>
    </row>
    <row r="4" spans="2:4" ht="13.5" thickBot="1" x14ac:dyDescent="0.25">
      <c r="B4" s="180" t="s">
        <v>300</v>
      </c>
      <c r="C4" s="109"/>
    </row>
    <row r="6" spans="2:4" x14ac:dyDescent="0.2">
      <c r="B6" s="110" t="s">
        <v>220</v>
      </c>
      <c r="C6" s="276">
        <v>0.15</v>
      </c>
    </row>
    <row r="7" spans="2:4" x14ac:dyDescent="0.2">
      <c r="B7" s="110" t="s">
        <v>221</v>
      </c>
      <c r="C7" s="277">
        <v>0.3</v>
      </c>
    </row>
    <row r="8" spans="2:4" x14ac:dyDescent="0.2">
      <c r="B8" s="110" t="s">
        <v>214</v>
      </c>
      <c r="C8" s="112">
        <f>'Investor ROI and dilution'!D45</f>
        <v>160864535.28215837</v>
      </c>
      <c r="D8" s="164"/>
    </row>
    <row r="9" spans="2:4" x14ac:dyDescent="0.2">
      <c r="B9" s="110" t="s">
        <v>215</v>
      </c>
      <c r="C9" s="112">
        <f>Inputs!C9</f>
        <v>980000</v>
      </c>
      <c r="D9" s="164"/>
    </row>
    <row r="10" spans="2:4" x14ac:dyDescent="0.2">
      <c r="B10" s="110" t="s">
        <v>149</v>
      </c>
      <c r="C10" s="112">
        <f>Financials!C70</f>
        <v>3287859.6599162528</v>
      </c>
      <c r="D10" s="164"/>
    </row>
    <row r="11" spans="2:4" x14ac:dyDescent="0.2">
      <c r="B11" s="110" t="s">
        <v>180</v>
      </c>
      <c r="C11" s="167">
        <f>C9/C10</f>
        <v>0.298066250195412</v>
      </c>
    </row>
    <row r="12" spans="2:4" x14ac:dyDescent="0.2">
      <c r="B12" s="110" t="s">
        <v>148</v>
      </c>
      <c r="C12">
        <f>Financials!C64</f>
        <v>5</v>
      </c>
    </row>
    <row r="13" spans="2:4" x14ac:dyDescent="0.2">
      <c r="B13" s="110" t="s">
        <v>216</v>
      </c>
      <c r="C13" s="177">
        <f>((1+C6)^C12)/C7</f>
        <v>6.7045239583333318</v>
      </c>
    </row>
    <row r="14" spans="2:4" x14ac:dyDescent="0.2">
      <c r="B14" s="110" t="s">
        <v>267</v>
      </c>
      <c r="C14" s="167">
        <f>'Investor ROI and dilution'!F40/'Investor ROI and dilution'!E40</f>
        <v>1</v>
      </c>
      <c r="D14" s="167"/>
    </row>
    <row r="15" spans="2:4" x14ac:dyDescent="0.2">
      <c r="B15" s="110" t="s">
        <v>217</v>
      </c>
      <c r="C15" s="112">
        <f>C8*C14/C13</f>
        <v>23993431.34305802</v>
      </c>
    </row>
    <row r="16" spans="2:4" x14ac:dyDescent="0.2">
      <c r="B16" s="110" t="s">
        <v>218</v>
      </c>
      <c r="C16" s="112">
        <f>C11*C15</f>
        <v>7151632.1097463714</v>
      </c>
    </row>
    <row r="17" spans="2:3" x14ac:dyDescent="0.2">
      <c r="B17" s="110" t="s">
        <v>219</v>
      </c>
      <c r="C17" s="178" t="str">
        <f>IF(C16&gt;C9,"invest","do not invest")</f>
        <v>invest</v>
      </c>
    </row>
    <row r="19" spans="2:3" ht="13.5" thickBot="1" x14ac:dyDescent="0.25">
      <c r="B19" s="109"/>
      <c r="C19" s="109"/>
    </row>
    <row r="23" spans="2:3" x14ac:dyDescent="0.2">
      <c r="B23" s="110"/>
    </row>
    <row r="24" spans="2:3" ht="13.5" thickBot="1" x14ac:dyDescent="0.25">
      <c r="B24" s="180" t="s">
        <v>305</v>
      </c>
      <c r="C24" s="291"/>
    </row>
    <row r="26" spans="2:3" x14ac:dyDescent="0.2">
      <c r="B26" s="110" t="s">
        <v>220</v>
      </c>
      <c r="C26" s="276">
        <v>0.35</v>
      </c>
    </row>
    <row r="27" spans="2:3" x14ac:dyDescent="0.2">
      <c r="B27" s="110" t="s">
        <v>221</v>
      </c>
      <c r="C27" s="277">
        <v>0.2</v>
      </c>
    </row>
    <row r="28" spans="2:3" x14ac:dyDescent="0.2">
      <c r="B28" s="110" t="s">
        <v>214</v>
      </c>
      <c r="C28" s="108">
        <f>C44</f>
        <v>30000000</v>
      </c>
    </row>
    <row r="29" spans="2:3" x14ac:dyDescent="0.2">
      <c r="B29" s="110" t="s">
        <v>215</v>
      </c>
      <c r="C29" s="297">
        <v>250000</v>
      </c>
    </row>
    <row r="30" spans="2:3" ht="15" x14ac:dyDescent="0.25">
      <c r="B30" s="110" t="s">
        <v>149</v>
      </c>
      <c r="C30" s="298">
        <v>1000000</v>
      </c>
    </row>
    <row r="31" spans="2:3" x14ac:dyDescent="0.2">
      <c r="B31" s="110" t="s">
        <v>180</v>
      </c>
      <c r="C31" s="167">
        <f>C29/C30</f>
        <v>0.25</v>
      </c>
    </row>
    <row r="32" spans="2:3" x14ac:dyDescent="0.2">
      <c r="B32" s="110" t="s">
        <v>148</v>
      </c>
      <c r="C32" s="299">
        <v>5</v>
      </c>
    </row>
    <row r="33" spans="2:3" x14ac:dyDescent="0.2">
      <c r="B33" s="110" t="s">
        <v>216</v>
      </c>
      <c r="C33" s="177">
        <f>((1+C26)^C32)/C27</f>
        <v>22.420167187500006</v>
      </c>
    </row>
    <row r="34" spans="2:3" x14ac:dyDescent="0.2">
      <c r="B34" s="110" t="s">
        <v>267</v>
      </c>
      <c r="C34" s="276">
        <v>0.5</v>
      </c>
    </row>
    <row r="35" spans="2:3" ht="15" x14ac:dyDescent="0.25">
      <c r="B35" s="110" t="s">
        <v>217</v>
      </c>
      <c r="C35" s="292">
        <f>C28*C34/C33</f>
        <v>669040.50601206056</v>
      </c>
    </row>
    <row r="36" spans="2:3" ht="15" x14ac:dyDescent="0.25">
      <c r="B36" s="110" t="s">
        <v>218</v>
      </c>
      <c r="C36" s="292">
        <f>C31*C35</f>
        <v>167260.12650301514</v>
      </c>
    </row>
    <row r="37" spans="2:3" x14ac:dyDescent="0.2">
      <c r="C37" s="293"/>
    </row>
    <row r="38" spans="2:3" x14ac:dyDescent="0.2">
      <c r="C38" s="293"/>
    </row>
    <row r="39" spans="2:3" x14ac:dyDescent="0.2">
      <c r="C39" s="294"/>
    </row>
    <row r="40" spans="2:3" x14ac:dyDescent="0.2">
      <c r="B40" t="s">
        <v>301</v>
      </c>
      <c r="C40" s="295" t="str">
        <f>IF(C36&gt;C29, "Invest", "Do Not Invest")</f>
        <v>Do Not Invest</v>
      </c>
    </row>
    <row r="41" spans="2:3" x14ac:dyDescent="0.2">
      <c r="C41" s="296"/>
    </row>
    <row r="42" spans="2:3" ht="15" x14ac:dyDescent="0.25">
      <c r="B42" t="s">
        <v>302</v>
      </c>
      <c r="C42" s="301">
        <v>3000000</v>
      </c>
    </row>
    <row r="43" spans="2:3" x14ac:dyDescent="0.2">
      <c r="B43" t="s">
        <v>303</v>
      </c>
      <c r="C43" s="299">
        <v>10</v>
      </c>
    </row>
    <row r="44" spans="2:3" ht="15" x14ac:dyDescent="0.25">
      <c r="B44" t="s">
        <v>304</v>
      </c>
      <c r="C44" s="300">
        <f>C42*C43</f>
        <v>30000000</v>
      </c>
    </row>
  </sheetData>
  <phoneticPr fontId="8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B3:G71"/>
  <sheetViews>
    <sheetView workbookViewId="0">
      <selection activeCell="Q1" sqref="Q1"/>
    </sheetView>
  </sheetViews>
  <sheetFormatPr defaultRowHeight="12.75" x14ac:dyDescent="0.2"/>
  <cols>
    <col min="2" max="2" width="19.7109375" customWidth="1"/>
    <col min="4" max="4" width="10.5703125" customWidth="1"/>
    <col min="5" max="6" width="10.7109375" customWidth="1"/>
    <col min="7" max="7" width="11.5703125" customWidth="1"/>
  </cols>
  <sheetData>
    <row r="3" spans="2:7" x14ac:dyDescent="0.2">
      <c r="C3" s="14">
        <f>Financials!C46</f>
        <v>40178</v>
      </c>
      <c r="D3" s="14">
        <f>Financials!D46</f>
        <v>40543</v>
      </c>
      <c r="E3" s="14">
        <f>Financials!E46</f>
        <v>40908</v>
      </c>
      <c r="F3" s="14">
        <f>Financials!F46</f>
        <v>41273</v>
      </c>
      <c r="G3" s="14">
        <f>Financials!G46</f>
        <v>41638</v>
      </c>
    </row>
    <row r="4" spans="2:7" x14ac:dyDescent="0.2">
      <c r="B4" t="s">
        <v>146</v>
      </c>
      <c r="C4" s="2">
        <f>Financials!C55</f>
        <v>-779418</v>
      </c>
      <c r="D4" s="2">
        <f>Financials!D55</f>
        <v>-15782.100961291384</v>
      </c>
      <c r="E4" s="2">
        <f>Financials!E55</f>
        <v>221301.11726640351</v>
      </c>
      <c r="F4" s="2">
        <f>Financials!F55</f>
        <v>4557880.6463129269</v>
      </c>
      <c r="G4" s="2">
        <f>Financials!G55</f>
        <v>19785610.707520615</v>
      </c>
    </row>
    <row r="5" spans="2:7" x14ac:dyDescent="0.2">
      <c r="B5" t="s">
        <v>147</v>
      </c>
      <c r="C5" s="2">
        <f>SUM($C$4:C4)</f>
        <v>-779418</v>
      </c>
      <c r="D5" s="2">
        <f>SUM($C$4:D4)</f>
        <v>-795200.10096129135</v>
      </c>
      <c r="E5" s="2">
        <f>SUM($C$4:E4)</f>
        <v>-573898.98369488784</v>
      </c>
      <c r="F5" s="2">
        <f>SUM($C$4:F4)</f>
        <v>3983981.6626180392</v>
      </c>
      <c r="G5" s="2">
        <f>SUM($C$4:G4)</f>
        <v>23769592.370138653</v>
      </c>
    </row>
    <row r="9" spans="2:7" x14ac:dyDescent="0.2">
      <c r="C9" s="107"/>
    </row>
    <row r="31" spans="3:3" x14ac:dyDescent="0.2">
      <c r="C31" s="107"/>
    </row>
    <row r="50" spans="2:2" x14ac:dyDescent="0.2">
      <c r="B50" s="275" t="s">
        <v>265</v>
      </c>
    </row>
    <row r="51" spans="2:2" x14ac:dyDescent="0.2">
      <c r="B51" s="110"/>
    </row>
    <row r="71" spans="2:2" x14ac:dyDescent="0.2">
      <c r="B71" s="275" t="s">
        <v>266</v>
      </c>
    </row>
  </sheetData>
  <phoneticPr fontId="8" type="noConversion"/>
  <pageMargins left="0.75" right="0.75" top="1" bottom="1" header="0.5" footer="0.5"/>
  <pageSetup orientation="portrait" horizontalDpi="4294967293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69" r:id="rId4" name="Button 173">
              <controlPr defaultSize="0" print="0" autoFill="0" autoPict="0" macro="[0]!Macro7">
                <anchor moveWithCells="1">
                  <from>
                    <xdr:col>1</xdr:col>
                    <xdr:colOff>38100</xdr:colOff>
                    <xdr:row>6</xdr:row>
                    <xdr:rowOff>66675</xdr:rowOff>
                  </from>
                  <to>
                    <xdr:col>3</xdr:col>
                    <xdr:colOff>76200</xdr:colOff>
                    <xdr:row>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I73"/>
  <sheetViews>
    <sheetView workbookViewId="0"/>
  </sheetViews>
  <sheetFormatPr defaultRowHeight="12.75" x14ac:dyDescent="0.2"/>
  <cols>
    <col min="1" max="1" width="45.7109375" customWidth="1"/>
    <col min="2" max="2" width="24.140625" hidden="1" customWidth="1"/>
    <col min="3" max="3" width="20.140625" customWidth="1"/>
    <col min="4" max="4" width="12.7109375" customWidth="1"/>
    <col min="5" max="5" width="11.42578125" customWidth="1"/>
  </cols>
  <sheetData>
    <row r="1" spans="1:9" ht="18" x14ac:dyDescent="0.25">
      <c r="A1" s="176" t="s">
        <v>268</v>
      </c>
    </row>
    <row r="2" spans="1:9" x14ac:dyDescent="0.2">
      <c r="A2" s="110" t="s">
        <v>251</v>
      </c>
    </row>
    <row r="3" spans="1:9" ht="15" x14ac:dyDescent="0.3">
      <c r="A3" s="162"/>
      <c r="H3" s="110"/>
    </row>
    <row r="4" spans="1:9" ht="15.75" thickBot="1" x14ac:dyDescent="0.35">
      <c r="A4" s="242" t="s">
        <v>192</v>
      </c>
      <c r="B4" s="171">
        <v>37256</v>
      </c>
      <c r="C4" s="248" t="s">
        <v>193</v>
      </c>
      <c r="D4" s="243" t="s">
        <v>209</v>
      </c>
      <c r="H4" s="110"/>
      <c r="I4" s="110"/>
    </row>
    <row r="5" spans="1:9" ht="15" x14ac:dyDescent="0.3">
      <c r="A5" s="181" t="s">
        <v>207</v>
      </c>
      <c r="B5" s="164" t="e">
        <f>SUM(#REF!)</f>
        <v>#REF!</v>
      </c>
      <c r="C5" s="239">
        <v>3000000</v>
      </c>
      <c r="D5" s="167">
        <f>C5/C34</f>
        <v>0.3</v>
      </c>
    </row>
    <row r="6" spans="1:9" ht="15" x14ac:dyDescent="0.3">
      <c r="A6" s="181" t="s">
        <v>208</v>
      </c>
      <c r="B6" s="164" t="e">
        <f>SUM(#REF!)</f>
        <v>#REF!</v>
      </c>
      <c r="C6" s="239">
        <v>900000</v>
      </c>
      <c r="D6" s="167">
        <f>C6/C34</f>
        <v>0.09</v>
      </c>
    </row>
    <row r="7" spans="1:9" ht="15" x14ac:dyDescent="0.3">
      <c r="A7" s="181" t="s">
        <v>228</v>
      </c>
      <c r="B7" s="164" t="e">
        <f>SUM(#REF!)</f>
        <v>#REF!</v>
      </c>
      <c r="C7" s="239">
        <v>1500000</v>
      </c>
      <c r="D7" s="167">
        <f>C7/C34</f>
        <v>0.15</v>
      </c>
    </row>
    <row r="8" spans="1:9" ht="15" x14ac:dyDescent="0.3">
      <c r="A8" s="181" t="s">
        <v>194</v>
      </c>
      <c r="B8" s="164">
        <v>5419</v>
      </c>
      <c r="C8" s="239">
        <v>200000</v>
      </c>
      <c r="D8" s="167">
        <f>C8/C34</f>
        <v>0.02</v>
      </c>
    </row>
    <row r="9" spans="1:9" ht="1.5" customHeight="1" x14ac:dyDescent="0.3">
      <c r="A9" s="182" t="s">
        <v>191</v>
      </c>
      <c r="B9" s="170"/>
      <c r="C9" s="170"/>
      <c r="D9" s="173"/>
    </row>
    <row r="10" spans="1:9" ht="15" x14ac:dyDescent="0.3">
      <c r="A10" s="183" t="s">
        <v>210</v>
      </c>
      <c r="B10" s="172">
        <v>211177</v>
      </c>
      <c r="C10" s="172">
        <f>SUM(C5:C8)</f>
        <v>5600000</v>
      </c>
      <c r="D10" s="167"/>
    </row>
    <row r="11" spans="1:9" ht="15" x14ac:dyDescent="0.3">
      <c r="A11" s="181" t="s">
        <v>195</v>
      </c>
      <c r="B11" s="164">
        <v>17095</v>
      </c>
      <c r="C11" s="239">
        <v>500000</v>
      </c>
      <c r="D11" s="167"/>
    </row>
    <row r="12" spans="1:9" ht="15" x14ac:dyDescent="0.3">
      <c r="A12" s="181" t="s">
        <v>196</v>
      </c>
      <c r="B12" s="164">
        <v>15857</v>
      </c>
      <c r="C12" s="239">
        <v>2000000</v>
      </c>
      <c r="D12" s="167">
        <f>C12/C34</f>
        <v>0.2</v>
      </c>
    </row>
    <row r="13" spans="1:9" ht="15" x14ac:dyDescent="0.3">
      <c r="A13" s="181" t="s">
        <v>197</v>
      </c>
      <c r="B13" s="164">
        <v>16415</v>
      </c>
      <c r="C13" s="239">
        <v>300000</v>
      </c>
      <c r="D13" s="167"/>
    </row>
    <row r="14" spans="1:9" ht="15" x14ac:dyDescent="0.3">
      <c r="A14" s="181" t="s">
        <v>198</v>
      </c>
      <c r="B14" s="164">
        <v>1132</v>
      </c>
      <c r="C14" s="239">
        <v>100000</v>
      </c>
      <c r="D14" s="167"/>
    </row>
    <row r="15" spans="1:9" ht="1.5" customHeight="1" x14ac:dyDescent="0.3">
      <c r="A15" s="182" t="s">
        <v>191</v>
      </c>
      <c r="B15" s="170"/>
      <c r="C15" s="170"/>
      <c r="D15" s="173"/>
    </row>
    <row r="16" spans="1:9" ht="15" x14ac:dyDescent="0.3">
      <c r="A16" s="183" t="s">
        <v>211</v>
      </c>
      <c r="B16" s="174">
        <v>278577</v>
      </c>
      <c r="C16" s="174">
        <f>SUM(C10:C14)</f>
        <v>8500000</v>
      </c>
      <c r="D16" s="175">
        <f>C16/C34</f>
        <v>0.85</v>
      </c>
    </row>
    <row r="17" spans="1:4" ht="15" x14ac:dyDescent="0.3">
      <c r="A17" s="162"/>
      <c r="D17" s="167"/>
    </row>
    <row r="18" spans="1:4" ht="15.75" thickBot="1" x14ac:dyDescent="0.35">
      <c r="A18" s="242" t="s">
        <v>227</v>
      </c>
      <c r="B18" s="244"/>
      <c r="C18" s="244"/>
      <c r="D18" s="245"/>
    </row>
    <row r="19" spans="1:4" ht="15" x14ac:dyDescent="0.3">
      <c r="A19" s="181" t="s">
        <v>199</v>
      </c>
      <c r="B19" s="163">
        <v>174763</v>
      </c>
      <c r="C19" s="260">
        <v>3600000</v>
      </c>
      <c r="D19" s="167">
        <f>C19/C34</f>
        <v>0.36</v>
      </c>
    </row>
    <row r="20" spans="1:4" ht="15" x14ac:dyDescent="0.3">
      <c r="A20" s="181" t="s">
        <v>200</v>
      </c>
      <c r="B20" s="164">
        <v>4459</v>
      </c>
      <c r="C20" s="239">
        <v>3000000</v>
      </c>
      <c r="D20" s="167">
        <f>C20/C34</f>
        <v>0.3</v>
      </c>
    </row>
    <row r="21" spans="1:4" ht="15" x14ac:dyDescent="0.3">
      <c r="A21" s="181" t="s">
        <v>201</v>
      </c>
      <c r="B21" s="164">
        <v>7233</v>
      </c>
      <c r="C21" s="239">
        <v>100000</v>
      </c>
      <c r="D21" s="167"/>
    </row>
    <row r="22" spans="1:4" ht="15" x14ac:dyDescent="0.3">
      <c r="A22" s="181" t="s">
        <v>202</v>
      </c>
      <c r="B22" s="164">
        <v>6975</v>
      </c>
      <c r="C22" s="239">
        <v>1300000</v>
      </c>
      <c r="D22" s="167">
        <f>C22/C34</f>
        <v>0.13</v>
      </c>
    </row>
    <row r="23" spans="1:4" ht="15" x14ac:dyDescent="0.3">
      <c r="A23" s="181" t="s">
        <v>203</v>
      </c>
      <c r="B23" s="164"/>
      <c r="C23" s="239">
        <v>200000</v>
      </c>
      <c r="D23" s="167"/>
    </row>
    <row r="24" spans="1:4" ht="15" x14ac:dyDescent="0.3">
      <c r="A24" s="259" t="s">
        <v>12</v>
      </c>
      <c r="B24" s="164">
        <v>2222</v>
      </c>
      <c r="C24" s="239">
        <v>100000</v>
      </c>
      <c r="D24" s="167"/>
    </row>
    <row r="25" spans="1:4" ht="2.25" customHeight="1" x14ac:dyDescent="0.3">
      <c r="A25" s="182" t="s">
        <v>191</v>
      </c>
      <c r="B25" s="170"/>
      <c r="C25" s="170"/>
      <c r="D25" s="173"/>
    </row>
    <row r="26" spans="1:4" ht="15" x14ac:dyDescent="0.3">
      <c r="A26" s="183" t="s">
        <v>212</v>
      </c>
      <c r="B26" s="172">
        <v>195652</v>
      </c>
      <c r="C26" s="172">
        <f>SUM(C19:C24)</f>
        <v>8300000</v>
      </c>
      <c r="D26" s="167"/>
    </row>
    <row r="27" spans="1:4" ht="15" x14ac:dyDescent="0.3">
      <c r="A27" s="181" t="s">
        <v>204</v>
      </c>
      <c r="B27" s="172"/>
      <c r="C27" s="239">
        <v>100000</v>
      </c>
      <c r="D27" s="167"/>
    </row>
    <row r="28" spans="1:4" ht="15" x14ac:dyDescent="0.3">
      <c r="A28" s="259" t="s">
        <v>261</v>
      </c>
      <c r="B28" s="164">
        <v>3013</v>
      </c>
      <c r="C28" s="239">
        <v>100000</v>
      </c>
      <c r="D28" s="167"/>
    </row>
    <row r="29" spans="1:4" ht="2.25" customHeight="1" x14ac:dyDescent="0.3">
      <c r="A29" s="169" t="s">
        <v>191</v>
      </c>
      <c r="B29" s="170"/>
      <c r="C29" s="170"/>
      <c r="D29" s="173"/>
    </row>
    <row r="30" spans="1:4" ht="15" x14ac:dyDescent="0.3">
      <c r="A30" s="183" t="s">
        <v>213</v>
      </c>
      <c r="B30" s="172">
        <v>198665</v>
      </c>
      <c r="C30" s="261">
        <f>SUM(C26:C28)</f>
        <v>8500000</v>
      </c>
      <c r="D30" s="167">
        <f>C30/C34</f>
        <v>0.85</v>
      </c>
    </row>
    <row r="31" spans="1:4" ht="15" x14ac:dyDescent="0.3">
      <c r="A31" s="162"/>
      <c r="D31" s="167"/>
    </row>
    <row r="32" spans="1:4" ht="15" x14ac:dyDescent="0.3">
      <c r="A32" s="162"/>
      <c r="D32" s="167"/>
    </row>
    <row r="33" spans="1:7" ht="15.75" thickBot="1" x14ac:dyDescent="0.35">
      <c r="A33" s="242" t="s">
        <v>222</v>
      </c>
      <c r="B33" s="244">
        <v>2001</v>
      </c>
      <c r="C33" s="243" t="str">
        <f>C4</f>
        <v xml:space="preserve">     June 30, 2002</v>
      </c>
      <c r="D33" s="246" t="s">
        <v>225</v>
      </c>
    </row>
    <row r="34" spans="1:7" ht="15" x14ac:dyDescent="0.3">
      <c r="A34" s="185" t="s">
        <v>205</v>
      </c>
      <c r="B34" s="166">
        <v>33692</v>
      </c>
      <c r="C34" s="239">
        <v>10000000</v>
      </c>
      <c r="D34" s="167"/>
    </row>
    <row r="35" spans="1:7" ht="15" x14ac:dyDescent="0.3">
      <c r="A35" s="183" t="s">
        <v>224</v>
      </c>
      <c r="D35" s="167"/>
    </row>
    <row r="36" spans="1:7" ht="15" x14ac:dyDescent="0.3">
      <c r="A36" s="181" t="s">
        <v>223</v>
      </c>
      <c r="B36" s="164">
        <v>14280</v>
      </c>
      <c r="C36" s="239">
        <v>4000000</v>
      </c>
      <c r="D36" s="167">
        <f>C36/C34</f>
        <v>0.4</v>
      </c>
    </row>
    <row r="37" spans="1:7" ht="15" x14ac:dyDescent="0.3">
      <c r="A37" s="181" t="s">
        <v>206</v>
      </c>
      <c r="B37" s="164">
        <v>10660</v>
      </c>
      <c r="C37" s="239">
        <v>3000000</v>
      </c>
      <c r="D37" s="167">
        <f>C37/C34</f>
        <v>0.3</v>
      </c>
    </row>
    <row r="38" spans="1:7" ht="15" x14ac:dyDescent="0.3">
      <c r="A38" s="181" t="s">
        <v>21</v>
      </c>
      <c r="B38" s="164">
        <v>32830</v>
      </c>
      <c r="C38" s="69">
        <v>500000</v>
      </c>
      <c r="D38" s="167">
        <f>C38/C34</f>
        <v>0.05</v>
      </c>
    </row>
    <row r="39" spans="1:7" ht="15" x14ac:dyDescent="0.3">
      <c r="A39" s="181" t="s">
        <v>238</v>
      </c>
      <c r="B39" s="164"/>
      <c r="C39" s="69">
        <f>5534</f>
        <v>5534</v>
      </c>
      <c r="D39" s="167">
        <f>C39/C34</f>
        <v>5.5340000000000001E-4</v>
      </c>
    </row>
    <row r="40" spans="1:7" ht="15.75" thickBot="1" x14ac:dyDescent="0.35">
      <c r="A40" s="184" t="s">
        <v>26</v>
      </c>
      <c r="B40" s="109"/>
      <c r="C40" s="240">
        <v>100000</v>
      </c>
      <c r="D40" s="241">
        <f>C40/C34</f>
        <v>0.01</v>
      </c>
    </row>
    <row r="41" spans="1:7" ht="15" x14ac:dyDescent="0.3">
      <c r="A41" s="247" t="s">
        <v>226</v>
      </c>
      <c r="C41" s="164">
        <f>C34-SUM(C36:C40)</f>
        <v>2394466</v>
      </c>
      <c r="D41" s="167">
        <f>C41/C34</f>
        <v>0.23944660000000001</v>
      </c>
    </row>
    <row r="42" spans="1:7" ht="15" x14ac:dyDescent="0.3">
      <c r="A42" s="266"/>
      <c r="C42" s="164"/>
      <c r="D42" s="167"/>
      <c r="F42" s="267"/>
      <c r="G42" s="11"/>
    </row>
    <row r="43" spans="1:7" ht="15.75" thickBot="1" x14ac:dyDescent="0.35">
      <c r="A43" s="266"/>
      <c r="C43" s="164"/>
      <c r="D43" s="270" t="s">
        <v>263</v>
      </c>
      <c r="E43" s="271"/>
    </row>
    <row r="44" spans="1:7" ht="15" x14ac:dyDescent="0.3">
      <c r="A44" s="268"/>
      <c r="B44" s="269"/>
      <c r="C44" s="269"/>
      <c r="D44" s="272" t="s">
        <v>264</v>
      </c>
      <c r="E44" s="265" t="s">
        <v>167</v>
      </c>
    </row>
    <row r="45" spans="1:7" ht="15" x14ac:dyDescent="0.3">
      <c r="A45" s="183" t="s">
        <v>239</v>
      </c>
      <c r="C45" s="167">
        <f>D41</f>
        <v>0.23944660000000001</v>
      </c>
      <c r="D45" s="263">
        <v>0.2</v>
      </c>
      <c r="E45" s="262">
        <v>0.2</v>
      </c>
    </row>
    <row r="46" spans="1:7" ht="15" x14ac:dyDescent="0.3">
      <c r="A46" s="183" t="s">
        <v>240</v>
      </c>
      <c r="B46" s="164"/>
      <c r="C46" s="167">
        <f>(C34-C36)/C34</f>
        <v>0.6</v>
      </c>
      <c r="D46" s="263">
        <v>0.4</v>
      </c>
      <c r="E46" s="262">
        <v>0.4</v>
      </c>
    </row>
    <row r="47" spans="1:7" ht="15" x14ac:dyDescent="0.3">
      <c r="A47" s="183" t="s">
        <v>241</v>
      </c>
      <c r="B47" s="164"/>
      <c r="C47" s="167">
        <f>(C34-(C36+C37+C38+C39))/C34</f>
        <v>0.24944659999999999</v>
      </c>
      <c r="D47" s="263">
        <v>0.5</v>
      </c>
      <c r="E47" s="262">
        <v>0.5</v>
      </c>
    </row>
    <row r="48" spans="1:7" ht="15" x14ac:dyDescent="0.3">
      <c r="A48" s="183" t="s">
        <v>259</v>
      </c>
      <c r="C48" s="69">
        <v>15</v>
      </c>
      <c r="D48" s="264"/>
    </row>
    <row r="49" spans="1:4" ht="15" x14ac:dyDescent="0.3">
      <c r="A49" s="183" t="s">
        <v>260</v>
      </c>
      <c r="B49" s="164"/>
      <c r="C49" s="258">
        <v>0.15</v>
      </c>
      <c r="D49" s="264"/>
    </row>
    <row r="50" spans="1:4" ht="15" x14ac:dyDescent="0.3">
      <c r="A50" s="162"/>
    </row>
    <row r="51" spans="1:4" ht="15" x14ac:dyDescent="0.3">
      <c r="A51" s="162"/>
    </row>
    <row r="52" spans="1:4" ht="15" x14ac:dyDescent="0.3">
      <c r="A52" s="162"/>
      <c r="B52" s="163"/>
      <c r="C52" s="163"/>
    </row>
    <row r="53" spans="1:4" ht="15" x14ac:dyDescent="0.3">
      <c r="A53" s="162"/>
    </row>
    <row r="54" spans="1:4" ht="15" x14ac:dyDescent="0.3">
      <c r="A54" s="162"/>
    </row>
    <row r="55" spans="1:4" ht="15" x14ac:dyDescent="0.3">
      <c r="A55" s="162"/>
      <c r="B55" s="165"/>
      <c r="C55" s="165"/>
    </row>
    <row r="56" spans="1:4" ht="15" x14ac:dyDescent="0.3">
      <c r="A56" s="162"/>
    </row>
    <row r="57" spans="1:4" ht="15" x14ac:dyDescent="0.3">
      <c r="A57" s="162"/>
      <c r="B57" s="165"/>
      <c r="C57" s="165"/>
    </row>
    <row r="58" spans="1:4" ht="15" x14ac:dyDescent="0.3">
      <c r="A58" s="162"/>
    </row>
    <row r="59" spans="1:4" ht="15" x14ac:dyDescent="0.3">
      <c r="A59" s="162"/>
    </row>
    <row r="60" spans="1:4" ht="15" x14ac:dyDescent="0.3">
      <c r="A60" s="162"/>
    </row>
    <row r="61" spans="1:4" ht="15" x14ac:dyDescent="0.3">
      <c r="A61" s="162"/>
      <c r="B61" s="164"/>
      <c r="C61" s="164"/>
    </row>
    <row r="62" spans="1:4" ht="15" x14ac:dyDescent="0.3">
      <c r="A62" s="162"/>
    </row>
    <row r="63" spans="1:4" ht="15" x14ac:dyDescent="0.3">
      <c r="A63" s="162"/>
      <c r="B63" s="164"/>
      <c r="C63" s="164"/>
    </row>
    <row r="64" spans="1:4" ht="15" x14ac:dyDescent="0.3">
      <c r="A64" s="162"/>
    </row>
    <row r="65" spans="1:3" ht="15" x14ac:dyDescent="0.3">
      <c r="A65" s="162"/>
    </row>
    <row r="66" spans="1:3" ht="15" x14ac:dyDescent="0.3">
      <c r="A66" s="162"/>
    </row>
    <row r="67" spans="1:3" ht="15" x14ac:dyDescent="0.3">
      <c r="A67" s="162"/>
      <c r="B67" s="163"/>
      <c r="C67" s="163"/>
    </row>
    <row r="68" spans="1:3" ht="15" x14ac:dyDescent="0.3">
      <c r="A68" s="162"/>
      <c r="C68" s="164"/>
    </row>
    <row r="69" spans="1:3" ht="15" x14ac:dyDescent="0.3">
      <c r="A69" s="162"/>
      <c r="B69" s="164"/>
      <c r="C69" s="164"/>
    </row>
    <row r="70" spans="1:3" ht="15" x14ac:dyDescent="0.3">
      <c r="A70" s="162"/>
    </row>
    <row r="71" spans="1:3" ht="15" x14ac:dyDescent="0.3">
      <c r="A71" s="162"/>
      <c r="B71" s="163"/>
      <c r="C71" s="163"/>
    </row>
    <row r="72" spans="1:3" ht="15" x14ac:dyDescent="0.3">
      <c r="A72" s="162"/>
    </row>
    <row r="73" spans="1:3" ht="15" x14ac:dyDescent="0.3">
      <c r="A73" s="162"/>
    </row>
  </sheetData>
  <phoneticPr fontId="8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C23"/>
  <sheetViews>
    <sheetView workbookViewId="0">
      <selection activeCell="C4" sqref="C4"/>
    </sheetView>
  </sheetViews>
  <sheetFormatPr defaultRowHeight="12.75" x14ac:dyDescent="0.2"/>
  <cols>
    <col min="2" max="2" width="25.140625" customWidth="1"/>
    <col min="3" max="3" width="16.5703125" customWidth="1"/>
  </cols>
  <sheetData>
    <row r="3" spans="1:3" x14ac:dyDescent="0.2">
      <c r="B3" s="289" t="s">
        <v>288</v>
      </c>
      <c r="C3" s="208">
        <v>0.25</v>
      </c>
    </row>
    <row r="4" spans="1:3" x14ac:dyDescent="0.2">
      <c r="B4" s="110" t="s">
        <v>289</v>
      </c>
      <c r="C4" s="290">
        <v>14052153.010604005</v>
      </c>
    </row>
    <row r="5" spans="1:3" x14ac:dyDescent="0.2">
      <c r="B5" s="110" t="s">
        <v>290</v>
      </c>
      <c r="C5">
        <v>0</v>
      </c>
    </row>
    <row r="15" spans="1:3" x14ac:dyDescent="0.2">
      <c r="B15" s="275" t="s">
        <v>299</v>
      </c>
    </row>
    <row r="16" spans="1:3" x14ac:dyDescent="0.2">
      <c r="A16">
        <v>1</v>
      </c>
      <c r="B16" s="110" t="s">
        <v>291</v>
      </c>
    </row>
    <row r="17" spans="1:2" x14ac:dyDescent="0.2">
      <c r="A17">
        <f>A16+1</f>
        <v>2</v>
      </c>
      <c r="B17" s="110" t="s">
        <v>292</v>
      </c>
    </row>
    <row r="18" spans="1:2" x14ac:dyDescent="0.2">
      <c r="A18">
        <f t="shared" ref="A18:A23" si="0">A17+1</f>
        <v>3</v>
      </c>
      <c r="B18" s="110" t="s">
        <v>298</v>
      </c>
    </row>
    <row r="19" spans="1:2" x14ac:dyDescent="0.2">
      <c r="A19">
        <f t="shared" si="0"/>
        <v>4</v>
      </c>
      <c r="B19" s="110" t="s">
        <v>293</v>
      </c>
    </row>
    <row r="20" spans="1:2" x14ac:dyDescent="0.2">
      <c r="A20">
        <f t="shared" si="0"/>
        <v>5</v>
      </c>
      <c r="B20" s="110" t="s">
        <v>294</v>
      </c>
    </row>
    <row r="21" spans="1:2" x14ac:dyDescent="0.2">
      <c r="A21">
        <f t="shared" si="0"/>
        <v>6</v>
      </c>
      <c r="B21" s="110" t="s">
        <v>295</v>
      </c>
    </row>
    <row r="22" spans="1:2" x14ac:dyDescent="0.2">
      <c r="A22">
        <f t="shared" si="0"/>
        <v>7</v>
      </c>
      <c r="B22" s="110" t="s">
        <v>297</v>
      </c>
    </row>
    <row r="23" spans="1:2" x14ac:dyDescent="0.2">
      <c r="A23">
        <f t="shared" si="0"/>
        <v>8</v>
      </c>
      <c r="B23" s="110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U84"/>
  <sheetViews>
    <sheetView topLeftCell="A10" zoomScale="110" zoomScaleNormal="110" workbookViewId="0">
      <selection activeCell="B22" sqref="B22"/>
    </sheetView>
  </sheetViews>
  <sheetFormatPr defaultRowHeight="12.75" x14ac:dyDescent="0.2"/>
  <cols>
    <col min="1" max="1" width="46.5703125" style="116" customWidth="1"/>
    <col min="2" max="2" width="15" style="116" bestFit="1" customWidth="1"/>
    <col min="3" max="3" width="17" style="116" bestFit="1" customWidth="1"/>
    <col min="4" max="4" width="18.140625" style="116" bestFit="1" customWidth="1"/>
    <col min="5" max="6" width="17" style="116" bestFit="1" customWidth="1"/>
    <col min="7" max="9" width="13" style="116" bestFit="1" customWidth="1"/>
    <col min="10" max="21" width="15" style="116" bestFit="1" customWidth="1"/>
    <col min="22" max="16384" width="9.140625" style="116"/>
  </cols>
  <sheetData>
    <row r="2" spans="1:21" ht="25.5" x14ac:dyDescent="0.2">
      <c r="A2" s="312" t="s">
        <v>340</v>
      </c>
      <c r="B2" s="279">
        <v>0</v>
      </c>
      <c r="C2" s="279">
        <v>0</v>
      </c>
      <c r="D2" s="279">
        <v>0</v>
      </c>
      <c r="E2" s="279">
        <v>0</v>
      </c>
      <c r="F2" s="279">
        <v>0</v>
      </c>
    </row>
    <row r="4" spans="1:21" ht="12.75" customHeight="1" x14ac:dyDescent="0.2">
      <c r="A4" s="127" t="s">
        <v>252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</row>
    <row r="5" spans="1:21" ht="12.75" customHeight="1" thickBot="1" x14ac:dyDescent="0.25">
      <c r="A5" s="221" t="s">
        <v>232</v>
      </c>
      <c r="B5" s="222">
        <f>Inputs!C7</f>
        <v>40178</v>
      </c>
      <c r="C5" s="222">
        <f>Inputs!D7</f>
        <v>40543</v>
      </c>
      <c r="D5" s="222">
        <f>Inputs!E7</f>
        <v>40908</v>
      </c>
      <c r="E5" s="222">
        <f>Inputs!F7</f>
        <v>41273</v>
      </c>
      <c r="F5" s="222">
        <f>Inputs!G7</f>
        <v>41638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ht="12.75" customHeight="1" x14ac:dyDescent="0.2">
      <c r="A6" s="218" t="s">
        <v>233</v>
      </c>
      <c r="B6" s="236">
        <v>2000000000</v>
      </c>
      <c r="C6" s="161">
        <f>B6*(1+C7)</f>
        <v>2240000000</v>
      </c>
      <c r="D6" s="161">
        <f>C6*(1+D7)</f>
        <v>2508800000.0000005</v>
      </c>
      <c r="E6" s="161">
        <f>D6*(1+E7)</f>
        <v>2809856000.000001</v>
      </c>
      <c r="F6" s="161">
        <f>E6*(1+F7)</f>
        <v>3147038720.0000014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</row>
    <row r="7" spans="1:21" ht="12.75" customHeight="1" x14ac:dyDescent="0.2">
      <c r="A7" s="218" t="s">
        <v>234</v>
      </c>
      <c r="C7" s="224">
        <v>0.12</v>
      </c>
      <c r="D7" s="225">
        <v>0.12</v>
      </c>
      <c r="E7" s="224">
        <v>0.12</v>
      </c>
      <c r="F7" s="224">
        <v>0.12</v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ht="12.75" customHeight="1" x14ac:dyDescent="0.2">
      <c r="A8" s="218" t="s">
        <v>249</v>
      </c>
      <c r="B8" s="237">
        <v>0.5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ht="12.75" customHeight="1" x14ac:dyDescent="0.2">
      <c r="A9" s="218" t="s">
        <v>247</v>
      </c>
      <c r="B9" s="224">
        <v>0.1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pans="1:21" ht="12.75" customHeight="1" x14ac:dyDescent="0.2">
      <c r="A10" s="218" t="s">
        <v>248</v>
      </c>
      <c r="B10" s="161">
        <f>B6*B8*B9</f>
        <v>100000000</v>
      </c>
      <c r="C10" s="161">
        <f>B10*(1+C11)</f>
        <v>112000000.00000001</v>
      </c>
      <c r="D10" s="161">
        <f>C10*(1+D11)</f>
        <v>125440000.00000003</v>
      </c>
      <c r="E10" s="161">
        <f>D10*(1+E11)</f>
        <v>140492800.00000006</v>
      </c>
      <c r="F10" s="161">
        <f>E10*(1+F11)</f>
        <v>157351936.00000009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</row>
    <row r="11" spans="1:21" ht="12.75" customHeight="1" x14ac:dyDescent="0.2">
      <c r="A11" s="218" t="s">
        <v>234</v>
      </c>
      <c r="C11" s="224">
        <v>0.12</v>
      </c>
      <c r="D11" s="225">
        <v>0.12</v>
      </c>
      <c r="E11" s="224">
        <v>0.12</v>
      </c>
      <c r="F11" s="224">
        <v>0.12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ht="12.75" customHeight="1" x14ac:dyDescent="0.2">
      <c r="A12" s="218" t="s">
        <v>250</v>
      </c>
      <c r="B12" s="224">
        <v>5.0000000000000001E-3</v>
      </c>
      <c r="C12" s="128">
        <f>B12*(1+C13)</f>
        <v>1.4999999999999999E-2</v>
      </c>
      <c r="D12" s="128">
        <f>C12*(1+D13)</f>
        <v>2.5499999999999998E-2</v>
      </c>
      <c r="E12" s="128">
        <f>D12*(1+E13)</f>
        <v>7.6499999999999999E-2</v>
      </c>
      <c r="F12" s="128">
        <f>E12*(1+F13)</f>
        <v>0.22949999999999998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</row>
    <row r="13" spans="1:21" ht="12.75" customHeight="1" thickBot="1" x14ac:dyDescent="0.25">
      <c r="A13" s="219" t="s">
        <v>234</v>
      </c>
      <c r="B13" s="220"/>
      <c r="C13" s="226">
        <v>2</v>
      </c>
      <c r="D13" s="226">
        <v>0.7</v>
      </c>
      <c r="E13" s="226">
        <v>2</v>
      </c>
      <c r="F13" s="226">
        <v>2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</row>
    <row r="14" spans="1:21" ht="12.75" customHeight="1" x14ac:dyDescent="0.2">
      <c r="A14" s="127" t="s">
        <v>129</v>
      </c>
      <c r="B14" s="161">
        <f>B10*B12</f>
        <v>500000</v>
      </c>
      <c r="C14" s="161">
        <f>C10*C12</f>
        <v>1680000.0000000002</v>
      </c>
      <c r="D14" s="161">
        <f>D10*D12</f>
        <v>3198720.0000000005</v>
      </c>
      <c r="E14" s="161">
        <f>E10*E12</f>
        <v>10747699.200000005</v>
      </c>
      <c r="F14" s="161">
        <f>F10*F12</f>
        <v>36112269.312000021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</row>
    <row r="15" spans="1:21" ht="12.75" customHeight="1" x14ac:dyDescent="0.2">
      <c r="A15" s="223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</row>
    <row r="16" spans="1:21" ht="12.75" customHeight="1" thickBot="1" x14ac:dyDescent="0.25">
      <c r="A16" s="227" t="s">
        <v>235</v>
      </c>
      <c r="B16" s="228">
        <f>B5</f>
        <v>40178</v>
      </c>
      <c r="C16" s="228">
        <f>C5</f>
        <v>40543</v>
      </c>
      <c r="D16" s="228">
        <f>D5</f>
        <v>40908</v>
      </c>
      <c r="E16" s="228">
        <f>E5</f>
        <v>41273</v>
      </c>
      <c r="F16" s="228">
        <f>F5</f>
        <v>41638</v>
      </c>
      <c r="G16" s="122"/>
      <c r="H16" s="122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</row>
    <row r="17" spans="1:21" ht="12.75" customHeight="1" x14ac:dyDescent="0.2">
      <c r="A17" s="257" t="s">
        <v>242</v>
      </c>
      <c r="B17"/>
      <c r="C17"/>
      <c r="D17"/>
      <c r="E17"/>
      <c r="F17"/>
      <c r="G17" s="122"/>
      <c r="H17" s="122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ht="12.75" customHeight="1" x14ac:dyDescent="0.2">
      <c r="A18" s="229" t="s">
        <v>243</v>
      </c>
      <c r="B18" s="102">
        <f>'Bottom Up Revenue-24mths'!M4</f>
        <v>100</v>
      </c>
      <c r="C18" s="274">
        <f>'Bottom Up Revenue-24mths'!Y4</f>
        <v>100</v>
      </c>
      <c r="D18" s="274">
        <f>C18*(1+D19)</f>
        <v>110.00000000000001</v>
      </c>
      <c r="E18" s="274">
        <f>D18*(1+E19)</f>
        <v>121.00000000000003</v>
      </c>
      <c r="F18" s="274">
        <f>E18*(1+F19)</f>
        <v>133.10000000000005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spans="1:21" ht="12.75" customHeight="1" x14ac:dyDescent="0.2">
      <c r="A19" s="229" t="s">
        <v>236</v>
      </c>
      <c r="B19"/>
      <c r="C19" s="104"/>
      <c r="D19" s="179">
        <v>0.1</v>
      </c>
      <c r="E19" s="179">
        <v>0.1</v>
      </c>
      <c r="F19" s="179">
        <v>0.1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1" ht="12.75" customHeight="1" x14ac:dyDescent="0.2">
      <c r="A20" s="229" t="s">
        <v>244</v>
      </c>
      <c r="B20" s="102">
        <f>SUM('Bottom Up Revenue-24mths'!B6:M6)</f>
        <v>26769</v>
      </c>
      <c r="C20" s="102">
        <f>SUM('Bottom Up Revenue-24mths'!N6:Y6)</f>
        <v>84122</v>
      </c>
      <c r="D20" s="102">
        <f>ROUNDUP(C20*(1+D21),0)</f>
        <v>168244</v>
      </c>
      <c r="E20" s="102">
        <f>ROUNDUP(D20*(1+E21),0)</f>
        <v>286015</v>
      </c>
      <c r="F20" s="102">
        <f>ROUNDUP(E20*(1+F21),0)</f>
        <v>457624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ht="12.75" customHeight="1" x14ac:dyDescent="0.2">
      <c r="A21" s="230" t="s">
        <v>234</v>
      </c>
      <c r="B21" s="25"/>
      <c r="C21" s="514"/>
      <c r="D21" s="234">
        <v>1</v>
      </c>
      <c r="E21" s="234">
        <v>0.7</v>
      </c>
      <c r="F21" s="234">
        <v>0.6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</row>
    <row r="22" spans="1:21" ht="12.75" customHeight="1" x14ac:dyDescent="0.2">
      <c r="A22" s="231" t="s">
        <v>155</v>
      </c>
      <c r="B22" s="235">
        <f>SUM('Bottom Up Revenue-24mths'!B8:M8)</f>
        <v>2676900</v>
      </c>
      <c r="C22" s="235">
        <f>SUM('Bottom Up Revenue-24mths'!N8:Y8)</f>
        <v>8412200</v>
      </c>
      <c r="D22" s="235">
        <f>D18*D20</f>
        <v>18506840.000000004</v>
      </c>
      <c r="E22" s="235">
        <f>E18*E20</f>
        <v>34607815.000000007</v>
      </c>
      <c r="F22" s="235">
        <f>F18*F20</f>
        <v>60909754.400000021</v>
      </c>
      <c r="G22" s="118" t="s">
        <v>471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1" ht="12.75" customHeight="1" x14ac:dyDescent="0.2">
      <c r="A23" s="257" t="s">
        <v>245</v>
      </c>
      <c r="B23"/>
      <c r="C23"/>
      <c r="D23"/>
      <c r="E23"/>
      <c r="F23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ht="12.75" customHeight="1" x14ac:dyDescent="0.2">
      <c r="A24" s="229" t="s">
        <v>243</v>
      </c>
      <c r="B24" s="102">
        <f>'Bottom Up Revenue-24mths'!M10</f>
        <v>30</v>
      </c>
      <c r="C24" s="274">
        <f>'Bottom Up Revenue-24mths'!Y10</f>
        <v>30</v>
      </c>
      <c r="D24" s="274">
        <f>C24*(1+D25)</f>
        <v>33</v>
      </c>
      <c r="E24" s="274">
        <f>D24*(1+E25)</f>
        <v>36.300000000000004</v>
      </c>
      <c r="F24" s="274">
        <f>E24*(1+F25)</f>
        <v>39.930000000000007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1" ht="12.75" customHeight="1" x14ac:dyDescent="0.2">
      <c r="A25" s="229" t="s">
        <v>236</v>
      </c>
      <c r="B25"/>
      <c r="C25" s="104"/>
      <c r="D25" s="179">
        <v>0.1</v>
      </c>
      <c r="E25" s="179">
        <v>0.1</v>
      </c>
      <c r="F25" s="179">
        <v>0.1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1" ht="12.75" customHeight="1" x14ac:dyDescent="0.2">
      <c r="A26" s="229" t="s">
        <v>244</v>
      </c>
      <c r="B26" s="102">
        <f>SUM('Bottom Up Revenue-24mths'!B12:M12)</f>
        <v>26769</v>
      </c>
      <c r="C26" s="102">
        <f>SUM('Bottom Up Revenue-24mths'!N12:Y12)</f>
        <v>84122</v>
      </c>
      <c r="D26" s="102">
        <f>ROUNDUP(C26*(1+D27),0)</f>
        <v>151420</v>
      </c>
      <c r="E26" s="102">
        <f>ROUNDUP(D26*(1+E27),0)</f>
        <v>257414</v>
      </c>
      <c r="F26" s="102">
        <f>ROUNDUP(E26*(1+F27),0)</f>
        <v>411863</v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1" ht="12.75" customHeight="1" x14ac:dyDescent="0.2">
      <c r="A27" s="230" t="s">
        <v>234</v>
      </c>
      <c r="B27" s="25"/>
      <c r="C27" s="514"/>
      <c r="D27" s="179">
        <v>0.8</v>
      </c>
      <c r="E27" s="179">
        <v>0.7</v>
      </c>
      <c r="F27" s="179">
        <v>0.6</v>
      </c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1" ht="12.75" customHeight="1" x14ac:dyDescent="0.2">
      <c r="A28" s="231" t="s">
        <v>155</v>
      </c>
      <c r="B28" s="235">
        <f>SUM('Bottom Up Revenue-24mths'!B14:M14)</f>
        <v>803070</v>
      </c>
      <c r="C28" s="235">
        <f>SUM('Bottom Up Revenue-24mths'!N14:Y14)</f>
        <v>2523660</v>
      </c>
      <c r="D28" s="235">
        <f>D24*D26</f>
        <v>4996860</v>
      </c>
      <c r="E28" s="235">
        <f>E24*E26</f>
        <v>9344128.2000000011</v>
      </c>
      <c r="F28" s="235">
        <f>F24*F26</f>
        <v>16445689.590000004</v>
      </c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1" ht="12.75" customHeight="1" x14ac:dyDescent="0.2">
      <c r="A29" s="257" t="s">
        <v>246</v>
      </c>
      <c r="B29"/>
      <c r="C29"/>
      <c r="D29"/>
      <c r="E29"/>
      <c r="F29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1" ht="12.75" customHeight="1" x14ac:dyDescent="0.2">
      <c r="A30" s="229" t="s">
        <v>243</v>
      </c>
      <c r="B30" s="102">
        <f>'Bottom Up Revenue-24mths'!M16</f>
        <v>10</v>
      </c>
      <c r="C30" s="274">
        <f>'Bottom Up Revenue-24mths'!Y16</f>
        <v>10</v>
      </c>
      <c r="D30" s="274">
        <f>C30*(1+D31)</f>
        <v>11</v>
      </c>
      <c r="E30" s="274">
        <f>D30*(1+E31)</f>
        <v>12.100000000000001</v>
      </c>
      <c r="F30" s="274">
        <f>E30*(1+F31)</f>
        <v>13.310000000000002</v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1" ht="12.75" customHeight="1" x14ac:dyDescent="0.2">
      <c r="A31" s="229" t="s">
        <v>236</v>
      </c>
      <c r="B31"/>
      <c r="C31" s="104"/>
      <c r="D31" s="179">
        <v>0.1</v>
      </c>
      <c r="E31" s="179">
        <v>0.1</v>
      </c>
      <c r="F31" s="179">
        <v>0.1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ht="12.75" customHeight="1" x14ac:dyDescent="0.2">
      <c r="A32" s="229" t="s">
        <v>244</v>
      </c>
      <c r="B32" s="102">
        <f>SUM('Bottom Up Revenue-24mths'!B18:M18)</f>
        <v>17129</v>
      </c>
      <c r="C32" s="102">
        <f>SUM('Bottom Up Revenue-24mths'!N18:Y18)</f>
        <v>53834</v>
      </c>
      <c r="D32" s="102">
        <f>ROUNDUP(C32*(1+D33),0)</f>
        <v>96902</v>
      </c>
      <c r="E32" s="102">
        <f>ROUNDUP(D32*(1+E33),0)</f>
        <v>164734</v>
      </c>
      <c r="F32" s="102">
        <f>ROUNDUP(E32*(1+F33),0)</f>
        <v>263575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ht="12.75" customHeight="1" x14ac:dyDescent="0.2">
      <c r="A33" s="230" t="s">
        <v>234</v>
      </c>
      <c r="B33" s="25"/>
      <c r="C33" s="514"/>
      <c r="D33" s="179">
        <v>0.8</v>
      </c>
      <c r="E33" s="179">
        <v>0.7</v>
      </c>
      <c r="F33" s="179">
        <v>0.6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ht="12.75" customHeight="1" x14ac:dyDescent="0.2">
      <c r="A34" s="231" t="s">
        <v>155</v>
      </c>
      <c r="B34" s="235">
        <f>SUM('Bottom Up Revenue-24mths'!B20:M20)</f>
        <v>171290</v>
      </c>
      <c r="C34" s="235">
        <f>SUM('Bottom Up Revenue-24mths'!N20:Y20)</f>
        <v>538340</v>
      </c>
      <c r="D34" s="235">
        <f>D30*D32</f>
        <v>1065922</v>
      </c>
      <c r="E34" s="235">
        <f>E30*E32</f>
        <v>1993281.4000000001</v>
      </c>
      <c r="F34" s="235">
        <f>F30*F32</f>
        <v>3508183.2500000005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ht="12.75" customHeight="1" x14ac:dyDescent="0.2">
      <c r="A35" s="231" t="s">
        <v>129</v>
      </c>
      <c r="B35" s="235">
        <f>B22+B28+B34</f>
        <v>3651260</v>
      </c>
      <c r="C35" s="235">
        <f>C22+C28+C34</f>
        <v>11474200</v>
      </c>
      <c r="D35" s="235">
        <f>D22+D28+D34</f>
        <v>24569622.000000004</v>
      </c>
      <c r="E35" s="235">
        <f>E22+E28+E34</f>
        <v>45945224.600000009</v>
      </c>
      <c r="F35" s="235">
        <f>F22+F28+F34</f>
        <v>80863627.240000024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s="278" customFormat="1" ht="12.75" customHeight="1" x14ac:dyDescent="0.2">
      <c r="A36" s="232" t="s">
        <v>237</v>
      </c>
      <c r="B36" s="513">
        <f>IF(B$2=1,B35,IF(B2=0,B14,B57))</f>
        <v>500000</v>
      </c>
      <c r="C36" s="513">
        <f>IF(C$2=1,C35,IF(C2=0,C14,C57))</f>
        <v>1680000.0000000002</v>
      </c>
      <c r="D36" s="513">
        <f>IF(D$2=1,D35,IF(D2=0,D14,D57))</f>
        <v>3198720.0000000005</v>
      </c>
      <c r="E36" s="513">
        <f>IF(E$2=1,E35,IF(E2=0,E14,E57))</f>
        <v>10747699.200000005</v>
      </c>
      <c r="F36" s="513">
        <f>IF(F$2=1,F35,IF(F2=0,F14,F57))</f>
        <v>36112269.312000021</v>
      </c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</row>
    <row r="37" spans="1:21" ht="12.75" customHeight="1" x14ac:dyDescent="0.2">
      <c r="A37"/>
      <c r="B37"/>
      <c r="C37"/>
      <c r="D37"/>
      <c r="E37"/>
      <c r="F37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ht="12.75" customHeight="1" x14ac:dyDescent="0.2">
      <c r="A38" s="123" t="s">
        <v>269</v>
      </c>
      <c r="B38" s="161">
        <f>B14-B35</f>
        <v>-3151260</v>
      </c>
      <c r="C38" s="161">
        <f>C14-C35</f>
        <v>-9794200</v>
      </c>
      <c r="D38" s="161">
        <f>D14-D35</f>
        <v>-21370902.000000004</v>
      </c>
      <c r="E38" s="161">
        <f>E14-E35</f>
        <v>-35197525.400000006</v>
      </c>
      <c r="F38" s="161">
        <f>F14-F35</f>
        <v>-44751357.928000003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12.75" customHeight="1" x14ac:dyDescent="0.2">
      <c r="A39" s="123" t="s">
        <v>270</v>
      </c>
      <c r="B39" s="121">
        <f>B35/B14</f>
        <v>7.3025200000000003</v>
      </c>
      <c r="C39" s="121">
        <f>C35/C14</f>
        <v>6.8298809523809512</v>
      </c>
      <c r="D39" s="121">
        <f>D35/D14</f>
        <v>7.6810793067226895</v>
      </c>
      <c r="E39" s="121">
        <f>E35/E14</f>
        <v>4.2748893270105652</v>
      </c>
      <c r="F39" s="121">
        <f>F35/F14</f>
        <v>2.2392286272945254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ht="12.75" customHeight="1" x14ac:dyDescent="0.2">
      <c r="A40" s="123"/>
      <c r="B40" s="119"/>
      <c r="C40" s="119"/>
      <c r="D40" s="119"/>
      <c r="E40" s="119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12.75" customHeight="1" x14ac:dyDescent="0.2">
      <c r="A41" s="123"/>
      <c r="B41" s="119"/>
      <c r="C41" s="534"/>
      <c r="D41" s="534"/>
      <c r="E41" s="534"/>
      <c r="F41" s="534"/>
      <c r="G41" s="534"/>
      <c r="H41" s="534"/>
      <c r="I41" s="534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</row>
    <row r="42" spans="1:21" ht="12.75" customHeight="1" x14ac:dyDescent="0.2">
      <c r="A42" s="123"/>
      <c r="B42" s="119"/>
      <c r="C42" s="534"/>
      <c r="D42" s="534"/>
      <c r="E42" s="534"/>
      <c r="F42" s="534"/>
      <c r="G42" s="534"/>
      <c r="H42" s="534"/>
      <c r="I42" s="534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spans="1:21" ht="12.75" customHeight="1" x14ac:dyDescent="0.2">
      <c r="A43" s="123"/>
      <c r="B43" s="119"/>
      <c r="C43" s="535"/>
      <c r="D43" s="535"/>
      <c r="E43" s="535"/>
      <c r="F43" s="535"/>
      <c r="G43" s="534"/>
      <c r="H43" s="534"/>
      <c r="I43" s="534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1" ht="12.75" customHeight="1" x14ac:dyDescent="0.2">
      <c r="A44" s="123"/>
      <c r="B44" s="120"/>
      <c r="C44" s="119"/>
      <c r="D44" s="119"/>
      <c r="E44" s="119"/>
      <c r="F44" s="119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ht="12.75" customHeight="1" x14ac:dyDescent="0.2">
      <c r="A45" s="123"/>
      <c r="B45" s="120"/>
      <c r="C45" s="119"/>
      <c r="D45" s="119"/>
      <c r="E45" s="119"/>
      <c r="F45" s="119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ht="12.75" customHeight="1" x14ac:dyDescent="0.2">
      <c r="A46" s="123"/>
      <c r="B46" s="120"/>
      <c r="C46" s="119"/>
      <c r="D46" s="119"/>
      <c r="E46" s="119"/>
      <c r="F46" s="119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ht="12.75" customHeight="1" x14ac:dyDescent="0.2">
      <c r="A47" s="123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1" ht="12.75" customHeight="1" x14ac:dyDescent="0.2">
      <c r="A48" s="123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</row>
    <row r="49" spans="1:21" ht="12.75" customHeight="1" x14ac:dyDescent="0.2">
      <c r="A49" s="123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</row>
    <row r="50" spans="1:21" ht="12.75" customHeight="1" x14ac:dyDescent="0.2">
      <c r="A50" s="123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</row>
    <row r="51" spans="1:21" ht="12.75" customHeight="1" x14ac:dyDescent="0.2">
      <c r="A51" s="123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</row>
    <row r="52" spans="1:21" ht="12.75" customHeight="1" x14ac:dyDescent="0.2">
      <c r="A52" s="1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</row>
    <row r="53" spans="1:21" ht="12.75" customHeight="1" x14ac:dyDescent="0.2">
      <c r="A53" s="123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</row>
    <row r="54" spans="1:21" ht="12.75" customHeight="1" x14ac:dyDescent="0.2">
      <c r="A54" s="123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</row>
    <row r="55" spans="1:21" ht="12.75" customHeight="1" x14ac:dyDescent="0.2">
      <c r="A55" s="123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</row>
    <row r="56" spans="1:21" ht="12.75" customHeight="1" x14ac:dyDescent="0.2">
      <c r="A56" s="123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</row>
    <row r="57" spans="1:21" ht="12.75" customHeight="1" x14ac:dyDescent="0.2">
      <c r="A57" s="289" t="s">
        <v>285</v>
      </c>
      <c r="B57" s="252">
        <f>B58*(1-Actual!C3)</f>
        <v>22344853.157562934</v>
      </c>
      <c r="C57" s="214">
        <f>B57*(1+C59)</f>
        <v>25009149.949314635</v>
      </c>
      <c r="D57" s="214">
        <f>C57*(1+D59)</f>
        <v>32510619.445850503</v>
      </c>
      <c r="E57" s="214">
        <f>D57*(1+E59)</f>
        <v>45768963.98450762</v>
      </c>
      <c r="F57" s="214">
        <f>E57*(1+F59)</f>
        <v>52033526.368758939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</row>
    <row r="58" spans="1:21" ht="12.75" customHeight="1" x14ac:dyDescent="0.2">
      <c r="A58" s="289" t="s">
        <v>286</v>
      </c>
      <c r="B58" s="252">
        <v>29793137.543417245</v>
      </c>
      <c r="C58" s="214">
        <v>33345533.265752852</v>
      </c>
      <c r="D58" s="214">
        <v>43347492.594467342</v>
      </c>
      <c r="E58" s="214">
        <v>61025285.312676832</v>
      </c>
      <c r="F58" s="214">
        <v>69378035.158345252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</row>
    <row r="59" spans="1:21" ht="12.75" customHeight="1" x14ac:dyDescent="0.2">
      <c r="A59" s="289" t="s">
        <v>287</v>
      </c>
      <c r="B59" s="252"/>
      <c r="C59" s="208">
        <f>(C58-B58)/B58</f>
        <v>0.11923536811652467</v>
      </c>
      <c r="D59" s="208">
        <f>(D58-C58)/C58</f>
        <v>0.29994899913587192</v>
      </c>
      <c r="E59" s="208">
        <f>(E58-D58)/D58</f>
        <v>0.40781580802359479</v>
      </c>
      <c r="F59" s="208">
        <f>(F58-E58)/E58</f>
        <v>0.13687358941250696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</row>
    <row r="60" spans="1:21" ht="12.75" customHeight="1" x14ac:dyDescent="0.2">
      <c r="A60" s="123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</row>
    <row r="61" spans="1:21" ht="12.75" customHeight="1" x14ac:dyDescent="0.2">
      <c r="A61" s="123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</row>
    <row r="62" spans="1:21" ht="12.75" customHeight="1" x14ac:dyDescent="0.2">
      <c r="A62" s="123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</row>
    <row r="63" spans="1:21" ht="12.75" customHeight="1" x14ac:dyDescent="0.2">
      <c r="A63" s="123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</row>
    <row r="64" spans="1:21" ht="12.75" customHeight="1" x14ac:dyDescent="0.2">
      <c r="A64" s="123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</row>
    <row r="65" spans="1:21" ht="12.75" customHeight="1" x14ac:dyDescent="0.2">
      <c r="A65" s="123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</row>
    <row r="66" spans="1:21" ht="12.75" customHeight="1" x14ac:dyDescent="0.2">
      <c r="A66" s="123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</row>
    <row r="67" spans="1:21" ht="12.75" customHeight="1" x14ac:dyDescent="0.2">
      <c r="A67" s="123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1" ht="12.75" customHeight="1" x14ac:dyDescent="0.2">
      <c r="A68" s="123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</row>
    <row r="69" spans="1:21" ht="12.75" customHeight="1" x14ac:dyDescent="0.2">
      <c r="A69" s="123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</row>
    <row r="70" spans="1:21" ht="12.75" customHeight="1" x14ac:dyDescent="0.2">
      <c r="A70" s="123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</row>
    <row r="71" spans="1:21" ht="12.75" customHeight="1" x14ac:dyDescent="0.2">
      <c r="A71" s="123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</row>
    <row r="72" spans="1:21" ht="12.75" customHeight="1" x14ac:dyDescent="0.2">
      <c r="A72" s="123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</row>
    <row r="73" spans="1:21" ht="12.75" customHeight="1" x14ac:dyDescent="0.2">
      <c r="A73" s="123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</row>
    <row r="74" spans="1:21" ht="12.75" customHeight="1" x14ac:dyDescent="0.2">
      <c r="A74" s="123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</row>
    <row r="75" spans="1:21" ht="12.75" customHeight="1" x14ac:dyDescent="0.2">
      <c r="A75" s="123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</row>
    <row r="76" spans="1:21" ht="12.75" customHeight="1" x14ac:dyDescent="0.2">
      <c r="A76" s="123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</row>
    <row r="77" spans="1:21" ht="12.75" customHeight="1" x14ac:dyDescent="0.2">
      <c r="A77" s="123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</row>
    <row r="78" spans="1:21" ht="12.75" customHeight="1" x14ac:dyDescent="0.2">
      <c r="A78" s="123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</row>
    <row r="79" spans="1:21" ht="12.75" customHeight="1" x14ac:dyDescent="0.2">
      <c r="A79" s="123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1:21" ht="12.75" customHeight="1" x14ac:dyDescent="0.2">
      <c r="A80" s="123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</row>
    <row r="81" spans="1:21" ht="12.75" customHeight="1" x14ac:dyDescent="0.2">
      <c r="A81" s="123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</row>
    <row r="82" spans="1:21" ht="12.75" customHeight="1" x14ac:dyDescent="0.2">
      <c r="A82" s="123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</row>
    <row r="83" spans="1:21" ht="12.75" customHeight="1" x14ac:dyDescent="0.2">
      <c r="A83" s="123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</row>
    <row r="84" spans="1:21" ht="12.75" customHeight="1" x14ac:dyDescent="0.2">
      <c r="A84" s="123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</row>
  </sheetData>
  <mergeCells count="3">
    <mergeCell ref="C41:I41"/>
    <mergeCell ref="C42:I42"/>
    <mergeCell ref="C43:I43"/>
  </mergeCells>
  <phoneticPr fontId="8" type="noConversion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Y40"/>
  <sheetViews>
    <sheetView zoomScale="120" zoomScaleNormal="120" workbookViewId="0">
      <pane xSplit="1" ySplit="2" topLeftCell="B3" activePane="bottomRight" state="frozen"/>
      <selection activeCell="F8" sqref="F8"/>
      <selection pane="topRight" activeCell="F8" sqref="F8"/>
      <selection pane="bottomLeft" activeCell="F8" sqref="F8"/>
      <selection pane="bottomRight" activeCell="B21" sqref="B21"/>
    </sheetView>
  </sheetViews>
  <sheetFormatPr defaultRowHeight="12.75" x14ac:dyDescent="0.2"/>
  <cols>
    <col min="1" max="1" width="27.28515625" style="116" bestFit="1" customWidth="1"/>
    <col min="2" max="20" width="15.28515625" style="116" customWidth="1"/>
    <col min="21" max="22" width="12.7109375" style="116" bestFit="1" customWidth="1"/>
    <col min="23" max="25" width="13.7109375" style="116" bestFit="1" customWidth="1"/>
    <col min="26" max="16384" width="9.140625" style="116"/>
  </cols>
  <sheetData>
    <row r="1" spans="1:25" ht="12.75" customHeight="1" x14ac:dyDescent="0.2">
      <c r="A1" s="223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</row>
    <row r="2" spans="1:25" ht="12.75" customHeight="1" thickBot="1" x14ac:dyDescent="0.25">
      <c r="A2" s="227" t="s">
        <v>235</v>
      </c>
      <c r="B2" s="493">
        <v>39844</v>
      </c>
      <c r="C2" s="494">
        <f>B2+28</f>
        <v>39872</v>
      </c>
      <c r="D2" s="494">
        <f>C2+30</f>
        <v>39902</v>
      </c>
      <c r="E2" s="494">
        <f t="shared" ref="E2:M2" si="0">D2+30</f>
        <v>39932</v>
      </c>
      <c r="F2" s="494">
        <f t="shared" si="0"/>
        <v>39962</v>
      </c>
      <c r="G2" s="494">
        <f t="shared" si="0"/>
        <v>39992</v>
      </c>
      <c r="H2" s="494">
        <f t="shared" si="0"/>
        <v>40022</v>
      </c>
      <c r="I2" s="494">
        <f t="shared" si="0"/>
        <v>40052</v>
      </c>
      <c r="J2" s="494">
        <f t="shared" si="0"/>
        <v>40082</v>
      </c>
      <c r="K2" s="494">
        <f t="shared" si="0"/>
        <v>40112</v>
      </c>
      <c r="L2" s="494">
        <f t="shared" si="0"/>
        <v>40142</v>
      </c>
      <c r="M2" s="494">
        <f t="shared" si="0"/>
        <v>40172</v>
      </c>
      <c r="N2" s="494">
        <f>M2+30</f>
        <v>40202</v>
      </c>
      <c r="O2" s="494">
        <f>N2+28</f>
        <v>40230</v>
      </c>
      <c r="P2" s="494">
        <f t="shared" ref="P2:U2" si="1">O2+30</f>
        <v>40260</v>
      </c>
      <c r="Q2" s="494">
        <f t="shared" si="1"/>
        <v>40290</v>
      </c>
      <c r="R2" s="494">
        <f t="shared" si="1"/>
        <v>40320</v>
      </c>
      <c r="S2" s="494">
        <f t="shared" si="1"/>
        <v>40350</v>
      </c>
      <c r="T2" s="494">
        <f t="shared" si="1"/>
        <v>40380</v>
      </c>
      <c r="U2" s="494">
        <f t="shared" si="1"/>
        <v>40410</v>
      </c>
      <c r="V2" s="494">
        <f>U2+30</f>
        <v>40440</v>
      </c>
      <c r="W2" s="494">
        <f>V2+30</f>
        <v>40470</v>
      </c>
      <c r="X2" s="494">
        <f>W2+30</f>
        <v>40500</v>
      </c>
      <c r="Y2" s="494">
        <f>X2+30</f>
        <v>40530</v>
      </c>
    </row>
    <row r="3" spans="1:25" ht="12.75" customHeight="1" x14ac:dyDescent="0.2">
      <c r="A3" s="257" t="s">
        <v>242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 customHeight="1" x14ac:dyDescent="0.2">
      <c r="A4" s="229" t="s">
        <v>243</v>
      </c>
      <c r="B4" s="69">
        <v>100</v>
      </c>
      <c r="C4" s="274">
        <f>B4*(1+C5)</f>
        <v>100</v>
      </c>
      <c r="D4" s="274">
        <f t="shared" ref="D4:U4" si="2">C4*(1+D5)</f>
        <v>100</v>
      </c>
      <c r="E4" s="274">
        <f t="shared" si="2"/>
        <v>100</v>
      </c>
      <c r="F4" s="274">
        <f t="shared" si="2"/>
        <v>100</v>
      </c>
      <c r="G4" s="274">
        <f t="shared" si="2"/>
        <v>100</v>
      </c>
      <c r="H4" s="274">
        <f t="shared" si="2"/>
        <v>100</v>
      </c>
      <c r="I4" s="274">
        <f t="shared" si="2"/>
        <v>100</v>
      </c>
      <c r="J4" s="274">
        <f t="shared" si="2"/>
        <v>100</v>
      </c>
      <c r="K4" s="274">
        <f t="shared" si="2"/>
        <v>100</v>
      </c>
      <c r="L4" s="274">
        <f t="shared" si="2"/>
        <v>100</v>
      </c>
      <c r="M4" s="274">
        <f t="shared" si="2"/>
        <v>100</v>
      </c>
      <c r="N4" s="274">
        <f t="shared" si="2"/>
        <v>100</v>
      </c>
      <c r="O4" s="274">
        <f t="shared" si="2"/>
        <v>100</v>
      </c>
      <c r="P4" s="274">
        <f t="shared" si="2"/>
        <v>100</v>
      </c>
      <c r="Q4" s="274">
        <f t="shared" si="2"/>
        <v>100</v>
      </c>
      <c r="R4" s="274">
        <f t="shared" si="2"/>
        <v>100</v>
      </c>
      <c r="S4" s="274">
        <f t="shared" si="2"/>
        <v>100</v>
      </c>
      <c r="T4" s="274">
        <f t="shared" si="2"/>
        <v>100</v>
      </c>
      <c r="U4" s="274">
        <f t="shared" si="2"/>
        <v>100</v>
      </c>
      <c r="V4" s="274">
        <f>U4*(1+V5)</f>
        <v>100</v>
      </c>
      <c r="W4" s="274">
        <f>V4*(1+W5)</f>
        <v>100</v>
      </c>
      <c r="X4" s="274">
        <f>W4*(1+X5)</f>
        <v>100</v>
      </c>
      <c r="Y4" s="274">
        <f>X4*(1+Y5)</f>
        <v>100</v>
      </c>
    </row>
    <row r="5" spans="1:25" ht="12.75" customHeight="1" x14ac:dyDescent="0.2">
      <c r="A5" s="229" t="s">
        <v>236</v>
      </c>
      <c r="B5"/>
      <c r="C5" s="179">
        <v>0</v>
      </c>
      <c r="D5" s="179">
        <v>0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K5" s="179">
        <v>0</v>
      </c>
      <c r="L5" s="179">
        <v>0</v>
      </c>
      <c r="M5" s="179">
        <v>0</v>
      </c>
      <c r="N5" s="179">
        <v>0</v>
      </c>
      <c r="O5" s="179">
        <v>0</v>
      </c>
      <c r="P5" s="179">
        <v>0</v>
      </c>
      <c r="Q5" s="179">
        <v>0</v>
      </c>
      <c r="R5" s="179">
        <v>0</v>
      </c>
      <c r="S5" s="179">
        <v>0</v>
      </c>
      <c r="T5" s="179">
        <v>0</v>
      </c>
      <c r="U5" s="179">
        <v>0</v>
      </c>
      <c r="V5" s="179">
        <v>0</v>
      </c>
      <c r="W5" s="179">
        <v>0</v>
      </c>
      <c r="X5" s="179">
        <v>0</v>
      </c>
      <c r="Y5" s="179">
        <v>0</v>
      </c>
    </row>
    <row r="6" spans="1:25" ht="12.75" customHeight="1" x14ac:dyDescent="0.2">
      <c r="A6" s="229" t="s">
        <v>244</v>
      </c>
      <c r="B6" s="69">
        <v>1250</v>
      </c>
      <c r="C6" s="102">
        <f>ROUNDUP(B6*(1+C7),0)</f>
        <v>1375</v>
      </c>
      <c r="D6" s="102">
        <f t="shared" ref="D6:Y6" si="3">ROUNDUP(C6*(1+D7),0)</f>
        <v>1513</v>
      </c>
      <c r="E6" s="102">
        <f t="shared" si="3"/>
        <v>1665</v>
      </c>
      <c r="F6" s="102">
        <f t="shared" si="3"/>
        <v>1832</v>
      </c>
      <c r="G6" s="102">
        <f t="shared" si="3"/>
        <v>2016</v>
      </c>
      <c r="H6" s="102">
        <f t="shared" si="3"/>
        <v>2218</v>
      </c>
      <c r="I6" s="102">
        <f t="shared" si="3"/>
        <v>2440</v>
      </c>
      <c r="J6" s="102">
        <f t="shared" si="3"/>
        <v>2684</v>
      </c>
      <c r="K6" s="102">
        <f t="shared" si="3"/>
        <v>2953</v>
      </c>
      <c r="L6" s="102">
        <f t="shared" si="3"/>
        <v>3249</v>
      </c>
      <c r="M6" s="102">
        <f t="shared" si="3"/>
        <v>3574</v>
      </c>
      <c r="N6" s="102">
        <f t="shared" si="3"/>
        <v>3932</v>
      </c>
      <c r="O6" s="102">
        <f t="shared" si="3"/>
        <v>4326</v>
      </c>
      <c r="P6" s="102">
        <f t="shared" si="3"/>
        <v>4759</v>
      </c>
      <c r="Q6" s="102">
        <f t="shared" si="3"/>
        <v>5235</v>
      </c>
      <c r="R6" s="102">
        <f t="shared" si="3"/>
        <v>5759</v>
      </c>
      <c r="S6" s="102">
        <f t="shared" si="3"/>
        <v>6335</v>
      </c>
      <c r="T6" s="102">
        <f t="shared" si="3"/>
        <v>6969</v>
      </c>
      <c r="U6" s="102">
        <f t="shared" si="3"/>
        <v>7666</v>
      </c>
      <c r="V6" s="102">
        <f t="shared" si="3"/>
        <v>8433</v>
      </c>
      <c r="W6" s="102">
        <f t="shared" si="3"/>
        <v>9277</v>
      </c>
      <c r="X6" s="102">
        <f t="shared" si="3"/>
        <v>10205</v>
      </c>
      <c r="Y6" s="102">
        <f t="shared" si="3"/>
        <v>11226</v>
      </c>
    </row>
    <row r="7" spans="1:25" ht="12.75" customHeight="1" x14ac:dyDescent="0.2">
      <c r="A7" s="230" t="s">
        <v>234</v>
      </c>
      <c r="B7" s="25"/>
      <c r="C7" s="234">
        <v>0.1</v>
      </c>
      <c r="D7" s="234">
        <v>0.1</v>
      </c>
      <c r="E7" s="234">
        <v>0.1</v>
      </c>
      <c r="F7" s="234">
        <v>0.1</v>
      </c>
      <c r="G7" s="234">
        <v>0.1</v>
      </c>
      <c r="H7" s="234">
        <v>0.1</v>
      </c>
      <c r="I7" s="234">
        <v>0.1</v>
      </c>
      <c r="J7" s="234">
        <v>0.1</v>
      </c>
      <c r="K7" s="234">
        <v>0.1</v>
      </c>
      <c r="L7" s="234">
        <v>0.1</v>
      </c>
      <c r="M7" s="234">
        <v>0.1</v>
      </c>
      <c r="N7" s="234">
        <v>0.1</v>
      </c>
      <c r="O7" s="234">
        <v>0.1</v>
      </c>
      <c r="P7" s="234">
        <v>0.1</v>
      </c>
      <c r="Q7" s="234">
        <v>0.1</v>
      </c>
      <c r="R7" s="234">
        <v>0.1</v>
      </c>
      <c r="S7" s="234">
        <v>0.1</v>
      </c>
      <c r="T7" s="234">
        <v>0.1</v>
      </c>
      <c r="U7" s="234">
        <v>0.1</v>
      </c>
      <c r="V7" s="234">
        <v>0.1</v>
      </c>
      <c r="W7" s="234">
        <v>0.1</v>
      </c>
      <c r="X7" s="234">
        <v>0.1</v>
      </c>
      <c r="Y7" s="234">
        <v>0.1</v>
      </c>
    </row>
    <row r="8" spans="1:25" ht="12.75" customHeight="1" x14ac:dyDescent="0.2">
      <c r="A8" s="231" t="s">
        <v>155</v>
      </c>
      <c r="B8" s="235">
        <f>B4*B6</f>
        <v>125000</v>
      </c>
      <c r="C8" s="235">
        <f>C4*C6</f>
        <v>137500</v>
      </c>
      <c r="D8" s="235">
        <f t="shared" ref="D8:U8" si="4">D4*D6</f>
        <v>151300</v>
      </c>
      <c r="E8" s="235">
        <f t="shared" si="4"/>
        <v>166500</v>
      </c>
      <c r="F8" s="235">
        <f t="shared" si="4"/>
        <v>183200</v>
      </c>
      <c r="G8" s="235">
        <f t="shared" si="4"/>
        <v>201600</v>
      </c>
      <c r="H8" s="235">
        <f t="shared" si="4"/>
        <v>221800</v>
      </c>
      <c r="I8" s="235">
        <f t="shared" si="4"/>
        <v>244000</v>
      </c>
      <c r="J8" s="235">
        <f t="shared" si="4"/>
        <v>268400</v>
      </c>
      <c r="K8" s="235">
        <f t="shared" si="4"/>
        <v>295300</v>
      </c>
      <c r="L8" s="235">
        <f t="shared" si="4"/>
        <v>324900</v>
      </c>
      <c r="M8" s="235">
        <f t="shared" si="4"/>
        <v>357400</v>
      </c>
      <c r="N8" s="235">
        <f t="shared" si="4"/>
        <v>393200</v>
      </c>
      <c r="O8" s="235">
        <f t="shared" si="4"/>
        <v>432600</v>
      </c>
      <c r="P8" s="235">
        <f t="shared" si="4"/>
        <v>475900</v>
      </c>
      <c r="Q8" s="235">
        <f t="shared" si="4"/>
        <v>523500</v>
      </c>
      <c r="R8" s="235">
        <f t="shared" si="4"/>
        <v>575900</v>
      </c>
      <c r="S8" s="235">
        <f t="shared" si="4"/>
        <v>633500</v>
      </c>
      <c r="T8" s="235">
        <f t="shared" si="4"/>
        <v>696900</v>
      </c>
      <c r="U8" s="235">
        <f t="shared" si="4"/>
        <v>766600</v>
      </c>
      <c r="V8" s="235">
        <f>V4*V6</f>
        <v>843300</v>
      </c>
      <c r="W8" s="235">
        <f>W4*W6</f>
        <v>927700</v>
      </c>
      <c r="X8" s="235">
        <f>X4*X6</f>
        <v>1020500</v>
      </c>
      <c r="Y8" s="235">
        <f>Y4*Y6</f>
        <v>1122600</v>
      </c>
    </row>
    <row r="9" spans="1:25" ht="12.75" customHeight="1" x14ac:dyDescent="0.2">
      <c r="A9" s="257" t="s">
        <v>245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 customHeight="1" x14ac:dyDescent="0.2">
      <c r="A10" s="229" t="s">
        <v>243</v>
      </c>
      <c r="B10" s="69">
        <v>30</v>
      </c>
      <c r="C10" s="274">
        <f>B10*(1+C11)</f>
        <v>30</v>
      </c>
      <c r="D10" s="274">
        <f t="shared" ref="D10:U10" si="5">C10*(1+D11)</f>
        <v>30</v>
      </c>
      <c r="E10" s="274">
        <f t="shared" si="5"/>
        <v>30</v>
      </c>
      <c r="F10" s="274">
        <f t="shared" si="5"/>
        <v>30</v>
      </c>
      <c r="G10" s="274">
        <f t="shared" si="5"/>
        <v>30</v>
      </c>
      <c r="H10" s="274">
        <f t="shared" si="5"/>
        <v>30</v>
      </c>
      <c r="I10" s="274">
        <f t="shared" si="5"/>
        <v>30</v>
      </c>
      <c r="J10" s="274">
        <f t="shared" si="5"/>
        <v>30</v>
      </c>
      <c r="K10" s="274">
        <f t="shared" si="5"/>
        <v>30</v>
      </c>
      <c r="L10" s="274">
        <f t="shared" si="5"/>
        <v>30</v>
      </c>
      <c r="M10" s="274">
        <f t="shared" si="5"/>
        <v>30</v>
      </c>
      <c r="N10" s="274">
        <f t="shared" si="5"/>
        <v>30</v>
      </c>
      <c r="O10" s="274">
        <f t="shared" si="5"/>
        <v>30</v>
      </c>
      <c r="P10" s="274">
        <f t="shared" si="5"/>
        <v>30</v>
      </c>
      <c r="Q10" s="274">
        <f t="shared" si="5"/>
        <v>30</v>
      </c>
      <c r="R10" s="274">
        <f t="shared" si="5"/>
        <v>30</v>
      </c>
      <c r="S10" s="274">
        <f t="shared" si="5"/>
        <v>30</v>
      </c>
      <c r="T10" s="274">
        <f t="shared" si="5"/>
        <v>30</v>
      </c>
      <c r="U10" s="274">
        <f t="shared" si="5"/>
        <v>30</v>
      </c>
      <c r="V10" s="274">
        <f>U10*(1+V11)</f>
        <v>30</v>
      </c>
      <c r="W10" s="274">
        <f>V10*(1+W11)</f>
        <v>30</v>
      </c>
      <c r="X10" s="274">
        <f>W10*(1+X11)</f>
        <v>30</v>
      </c>
      <c r="Y10" s="274">
        <f>X10*(1+Y11)</f>
        <v>30</v>
      </c>
    </row>
    <row r="11" spans="1:25" ht="12.75" customHeight="1" x14ac:dyDescent="0.2">
      <c r="A11" s="229" t="s">
        <v>236</v>
      </c>
      <c r="B11"/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79">
        <v>0</v>
      </c>
      <c r="R11" s="179">
        <v>0</v>
      </c>
      <c r="S11" s="179">
        <v>0</v>
      </c>
      <c r="T11" s="179">
        <v>0</v>
      </c>
      <c r="U11" s="179">
        <v>0</v>
      </c>
      <c r="V11" s="179">
        <v>0</v>
      </c>
      <c r="W11" s="179">
        <v>0</v>
      </c>
      <c r="X11" s="179">
        <v>0</v>
      </c>
      <c r="Y11" s="179">
        <v>0</v>
      </c>
    </row>
    <row r="12" spans="1:25" ht="12.75" customHeight="1" x14ac:dyDescent="0.2">
      <c r="A12" s="229" t="s">
        <v>244</v>
      </c>
      <c r="B12" s="69">
        <v>1250</v>
      </c>
      <c r="C12" s="102">
        <f>ROUNDUP(B12*(1+C13),0)</f>
        <v>1375</v>
      </c>
      <c r="D12" s="102">
        <f t="shared" ref="D12:Y12" si="6">ROUNDUP(C12*(1+D13),0)</f>
        <v>1513</v>
      </c>
      <c r="E12" s="102">
        <f t="shared" si="6"/>
        <v>1665</v>
      </c>
      <c r="F12" s="102">
        <f t="shared" si="6"/>
        <v>1832</v>
      </c>
      <c r="G12" s="102">
        <f t="shared" si="6"/>
        <v>2016</v>
      </c>
      <c r="H12" s="102">
        <f t="shared" si="6"/>
        <v>2218</v>
      </c>
      <c r="I12" s="102">
        <f t="shared" si="6"/>
        <v>2440</v>
      </c>
      <c r="J12" s="102">
        <f t="shared" si="6"/>
        <v>2684</v>
      </c>
      <c r="K12" s="102">
        <f t="shared" si="6"/>
        <v>2953</v>
      </c>
      <c r="L12" s="102">
        <f t="shared" si="6"/>
        <v>3249</v>
      </c>
      <c r="M12" s="102">
        <f t="shared" si="6"/>
        <v>3574</v>
      </c>
      <c r="N12" s="102">
        <f t="shared" si="6"/>
        <v>3932</v>
      </c>
      <c r="O12" s="102">
        <f t="shared" si="6"/>
        <v>4326</v>
      </c>
      <c r="P12" s="102">
        <f t="shared" si="6"/>
        <v>4759</v>
      </c>
      <c r="Q12" s="102">
        <f t="shared" si="6"/>
        <v>5235</v>
      </c>
      <c r="R12" s="102">
        <f t="shared" si="6"/>
        <v>5759</v>
      </c>
      <c r="S12" s="102">
        <f t="shared" si="6"/>
        <v>6335</v>
      </c>
      <c r="T12" s="102">
        <f t="shared" si="6"/>
        <v>6969</v>
      </c>
      <c r="U12" s="102">
        <f t="shared" si="6"/>
        <v>7666</v>
      </c>
      <c r="V12" s="102">
        <f t="shared" si="6"/>
        <v>8433</v>
      </c>
      <c r="W12" s="102">
        <f t="shared" si="6"/>
        <v>9277</v>
      </c>
      <c r="X12" s="102">
        <f t="shared" si="6"/>
        <v>10205</v>
      </c>
      <c r="Y12" s="102">
        <f t="shared" si="6"/>
        <v>11226</v>
      </c>
    </row>
    <row r="13" spans="1:25" ht="12.75" customHeight="1" x14ac:dyDescent="0.2">
      <c r="A13" s="230" t="s">
        <v>234</v>
      </c>
      <c r="B13" s="25"/>
      <c r="C13" s="179">
        <v>0.1</v>
      </c>
      <c r="D13" s="179">
        <v>0.1</v>
      </c>
      <c r="E13" s="179">
        <v>0.1</v>
      </c>
      <c r="F13" s="179">
        <v>0.1</v>
      </c>
      <c r="G13" s="179">
        <v>0.1</v>
      </c>
      <c r="H13" s="179">
        <v>0.1</v>
      </c>
      <c r="I13" s="179">
        <v>0.1</v>
      </c>
      <c r="J13" s="179">
        <v>0.1</v>
      </c>
      <c r="K13" s="179">
        <v>0.1</v>
      </c>
      <c r="L13" s="179">
        <v>0.1</v>
      </c>
      <c r="M13" s="179">
        <v>0.1</v>
      </c>
      <c r="N13" s="179">
        <v>0.1</v>
      </c>
      <c r="O13" s="179">
        <v>0.1</v>
      </c>
      <c r="P13" s="179">
        <v>0.1</v>
      </c>
      <c r="Q13" s="179">
        <v>0.1</v>
      </c>
      <c r="R13" s="179">
        <v>0.1</v>
      </c>
      <c r="S13" s="179">
        <v>0.1</v>
      </c>
      <c r="T13" s="179">
        <v>0.1</v>
      </c>
      <c r="U13" s="179">
        <v>0.1</v>
      </c>
      <c r="V13" s="179">
        <v>0.1</v>
      </c>
      <c r="W13" s="179">
        <v>0.1</v>
      </c>
      <c r="X13" s="179">
        <v>0.1</v>
      </c>
      <c r="Y13" s="179">
        <v>0.1</v>
      </c>
    </row>
    <row r="14" spans="1:25" ht="12.75" customHeight="1" x14ac:dyDescent="0.2">
      <c r="A14" s="231" t="s">
        <v>155</v>
      </c>
      <c r="B14" s="235">
        <f>B10*B12</f>
        <v>37500</v>
      </c>
      <c r="C14" s="235">
        <f>C10*C12</f>
        <v>41250</v>
      </c>
      <c r="D14" s="235">
        <f t="shared" ref="D14:U14" si="7">D10*D12</f>
        <v>45390</v>
      </c>
      <c r="E14" s="235">
        <f t="shared" si="7"/>
        <v>49950</v>
      </c>
      <c r="F14" s="235">
        <f t="shared" si="7"/>
        <v>54960</v>
      </c>
      <c r="G14" s="235">
        <f t="shared" si="7"/>
        <v>60480</v>
      </c>
      <c r="H14" s="235">
        <f t="shared" si="7"/>
        <v>66540</v>
      </c>
      <c r="I14" s="235">
        <f t="shared" si="7"/>
        <v>73200</v>
      </c>
      <c r="J14" s="235">
        <f t="shared" si="7"/>
        <v>80520</v>
      </c>
      <c r="K14" s="235">
        <f t="shared" si="7"/>
        <v>88590</v>
      </c>
      <c r="L14" s="235">
        <f t="shared" si="7"/>
        <v>97470</v>
      </c>
      <c r="M14" s="235">
        <f t="shared" si="7"/>
        <v>107220</v>
      </c>
      <c r="N14" s="235">
        <f t="shared" si="7"/>
        <v>117960</v>
      </c>
      <c r="O14" s="235">
        <f t="shared" si="7"/>
        <v>129780</v>
      </c>
      <c r="P14" s="235">
        <f t="shared" si="7"/>
        <v>142770</v>
      </c>
      <c r="Q14" s="235">
        <f t="shared" si="7"/>
        <v>157050</v>
      </c>
      <c r="R14" s="235">
        <f t="shared" si="7"/>
        <v>172770</v>
      </c>
      <c r="S14" s="235">
        <f t="shared" si="7"/>
        <v>190050</v>
      </c>
      <c r="T14" s="235">
        <f t="shared" si="7"/>
        <v>209070</v>
      </c>
      <c r="U14" s="235">
        <f t="shared" si="7"/>
        <v>229980</v>
      </c>
      <c r="V14" s="235">
        <f>V10*V12</f>
        <v>252990</v>
      </c>
      <c r="W14" s="235">
        <f>W10*W12</f>
        <v>278310</v>
      </c>
      <c r="X14" s="235">
        <f>X10*X12</f>
        <v>306150</v>
      </c>
      <c r="Y14" s="235">
        <f>Y10*Y12</f>
        <v>336780</v>
      </c>
    </row>
    <row r="15" spans="1:25" ht="12.75" customHeight="1" x14ac:dyDescent="0.2">
      <c r="A15" s="257" t="s">
        <v>246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2.75" customHeight="1" x14ac:dyDescent="0.2">
      <c r="A16" s="229" t="s">
        <v>243</v>
      </c>
      <c r="B16" s="69">
        <v>10</v>
      </c>
      <c r="C16" s="274">
        <f>B16*(1+C17)</f>
        <v>10</v>
      </c>
      <c r="D16" s="274">
        <f t="shared" ref="D16:U16" si="8">C16*(1+D17)</f>
        <v>10</v>
      </c>
      <c r="E16" s="274">
        <f t="shared" si="8"/>
        <v>10</v>
      </c>
      <c r="F16" s="274">
        <f t="shared" si="8"/>
        <v>10</v>
      </c>
      <c r="G16" s="274">
        <f t="shared" si="8"/>
        <v>10</v>
      </c>
      <c r="H16" s="274">
        <f t="shared" si="8"/>
        <v>10</v>
      </c>
      <c r="I16" s="274">
        <f t="shared" si="8"/>
        <v>10</v>
      </c>
      <c r="J16" s="274">
        <f t="shared" si="8"/>
        <v>10</v>
      </c>
      <c r="K16" s="274">
        <f t="shared" si="8"/>
        <v>10</v>
      </c>
      <c r="L16" s="274">
        <f t="shared" si="8"/>
        <v>10</v>
      </c>
      <c r="M16" s="274">
        <f t="shared" si="8"/>
        <v>10</v>
      </c>
      <c r="N16" s="274">
        <f t="shared" si="8"/>
        <v>10</v>
      </c>
      <c r="O16" s="274">
        <f t="shared" si="8"/>
        <v>10</v>
      </c>
      <c r="P16" s="274">
        <f t="shared" si="8"/>
        <v>10</v>
      </c>
      <c r="Q16" s="274">
        <f t="shared" si="8"/>
        <v>10</v>
      </c>
      <c r="R16" s="274">
        <f t="shared" si="8"/>
        <v>10</v>
      </c>
      <c r="S16" s="274">
        <f t="shared" si="8"/>
        <v>10</v>
      </c>
      <c r="T16" s="274">
        <f t="shared" si="8"/>
        <v>10</v>
      </c>
      <c r="U16" s="274">
        <f t="shared" si="8"/>
        <v>10</v>
      </c>
      <c r="V16" s="274">
        <f>U16*(1+V17)</f>
        <v>10</v>
      </c>
      <c r="W16" s="274">
        <f>V16*(1+W17)</f>
        <v>10</v>
      </c>
      <c r="X16" s="274">
        <f>W16*(1+X17)</f>
        <v>10</v>
      </c>
      <c r="Y16" s="274">
        <f>X16*(1+Y17)</f>
        <v>10</v>
      </c>
    </row>
    <row r="17" spans="1:25" ht="12.75" customHeight="1" x14ac:dyDescent="0.2">
      <c r="A17" s="229" t="s">
        <v>236</v>
      </c>
      <c r="B17"/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</row>
    <row r="18" spans="1:25" ht="12.75" customHeight="1" x14ac:dyDescent="0.2">
      <c r="A18" s="229" t="s">
        <v>244</v>
      </c>
      <c r="B18" s="69">
        <v>800</v>
      </c>
      <c r="C18" s="102">
        <f>ROUNDUP(B18*(1+C19),0)</f>
        <v>880</v>
      </c>
      <c r="D18" s="102">
        <f t="shared" ref="D18:Y18" si="9">ROUNDUP(C18*(1+D19),0)</f>
        <v>968</v>
      </c>
      <c r="E18" s="102">
        <f t="shared" si="9"/>
        <v>1065</v>
      </c>
      <c r="F18" s="102">
        <f t="shared" si="9"/>
        <v>1172</v>
      </c>
      <c r="G18" s="102">
        <f t="shared" si="9"/>
        <v>1290</v>
      </c>
      <c r="H18" s="102">
        <f t="shared" si="9"/>
        <v>1419</v>
      </c>
      <c r="I18" s="102">
        <f t="shared" si="9"/>
        <v>1561</v>
      </c>
      <c r="J18" s="102">
        <f t="shared" si="9"/>
        <v>1718</v>
      </c>
      <c r="K18" s="102">
        <f t="shared" si="9"/>
        <v>1890</v>
      </c>
      <c r="L18" s="102">
        <f t="shared" si="9"/>
        <v>2079</v>
      </c>
      <c r="M18" s="102">
        <f t="shared" si="9"/>
        <v>2287</v>
      </c>
      <c r="N18" s="102">
        <f t="shared" si="9"/>
        <v>2516</v>
      </c>
      <c r="O18" s="102">
        <f t="shared" si="9"/>
        <v>2768</v>
      </c>
      <c r="P18" s="102">
        <f t="shared" si="9"/>
        <v>3045</v>
      </c>
      <c r="Q18" s="102">
        <f t="shared" si="9"/>
        <v>3350</v>
      </c>
      <c r="R18" s="102">
        <f t="shared" si="9"/>
        <v>3685</v>
      </c>
      <c r="S18" s="102">
        <f t="shared" si="9"/>
        <v>4054</v>
      </c>
      <c r="T18" s="102">
        <f t="shared" si="9"/>
        <v>4460</v>
      </c>
      <c r="U18" s="102">
        <f t="shared" si="9"/>
        <v>4906</v>
      </c>
      <c r="V18" s="102">
        <f t="shared" si="9"/>
        <v>5397</v>
      </c>
      <c r="W18" s="102">
        <f t="shared" si="9"/>
        <v>5937</v>
      </c>
      <c r="X18" s="102">
        <f t="shared" si="9"/>
        <v>6531</v>
      </c>
      <c r="Y18" s="102">
        <f t="shared" si="9"/>
        <v>7185</v>
      </c>
    </row>
    <row r="19" spans="1:25" ht="12.75" customHeight="1" x14ac:dyDescent="0.2">
      <c r="A19" s="230" t="s">
        <v>234</v>
      </c>
      <c r="B19" s="25"/>
      <c r="C19" s="179">
        <v>0.1</v>
      </c>
      <c r="D19" s="179">
        <v>0.1</v>
      </c>
      <c r="E19" s="179">
        <v>0.1</v>
      </c>
      <c r="F19" s="179">
        <v>0.1</v>
      </c>
      <c r="G19" s="179">
        <v>0.1</v>
      </c>
      <c r="H19" s="179">
        <v>0.1</v>
      </c>
      <c r="I19" s="179">
        <v>0.1</v>
      </c>
      <c r="J19" s="179">
        <v>0.1</v>
      </c>
      <c r="K19" s="179">
        <v>0.1</v>
      </c>
      <c r="L19" s="179">
        <v>0.1</v>
      </c>
      <c r="M19" s="179">
        <v>0.1</v>
      </c>
      <c r="N19" s="179">
        <v>0.1</v>
      </c>
      <c r="O19" s="179">
        <v>0.1</v>
      </c>
      <c r="P19" s="179">
        <v>0.1</v>
      </c>
      <c r="Q19" s="179">
        <v>0.1</v>
      </c>
      <c r="R19" s="179">
        <v>0.1</v>
      </c>
      <c r="S19" s="179">
        <v>0.1</v>
      </c>
      <c r="T19" s="179">
        <v>0.1</v>
      </c>
      <c r="U19" s="179">
        <v>0.1</v>
      </c>
      <c r="V19" s="179">
        <v>0.1</v>
      </c>
      <c r="W19" s="179">
        <v>0.1</v>
      </c>
      <c r="X19" s="179">
        <v>0.1</v>
      </c>
      <c r="Y19" s="179">
        <v>0.1</v>
      </c>
    </row>
    <row r="20" spans="1:25" ht="12.75" customHeight="1" x14ac:dyDescent="0.2">
      <c r="A20" s="231" t="s">
        <v>155</v>
      </c>
      <c r="B20" s="235">
        <f>B16*B18</f>
        <v>8000</v>
      </c>
      <c r="C20" s="235">
        <f>C16*C18</f>
        <v>8800</v>
      </c>
      <c r="D20" s="235">
        <f t="shared" ref="D20:U20" si="10">D16*D18</f>
        <v>9680</v>
      </c>
      <c r="E20" s="235">
        <f t="shared" si="10"/>
        <v>10650</v>
      </c>
      <c r="F20" s="235">
        <f t="shared" si="10"/>
        <v>11720</v>
      </c>
      <c r="G20" s="235">
        <f t="shared" si="10"/>
        <v>12900</v>
      </c>
      <c r="H20" s="235">
        <f t="shared" si="10"/>
        <v>14190</v>
      </c>
      <c r="I20" s="235">
        <f t="shared" si="10"/>
        <v>15610</v>
      </c>
      <c r="J20" s="235">
        <f t="shared" si="10"/>
        <v>17180</v>
      </c>
      <c r="K20" s="235">
        <f t="shared" si="10"/>
        <v>18900</v>
      </c>
      <c r="L20" s="235">
        <f t="shared" si="10"/>
        <v>20790</v>
      </c>
      <c r="M20" s="235">
        <f t="shared" si="10"/>
        <v>22870</v>
      </c>
      <c r="N20" s="235">
        <f t="shared" si="10"/>
        <v>25160</v>
      </c>
      <c r="O20" s="235">
        <f t="shared" si="10"/>
        <v>27680</v>
      </c>
      <c r="P20" s="235">
        <f t="shared" si="10"/>
        <v>30450</v>
      </c>
      <c r="Q20" s="235">
        <f t="shared" si="10"/>
        <v>33500</v>
      </c>
      <c r="R20" s="235">
        <f t="shared" si="10"/>
        <v>36850</v>
      </c>
      <c r="S20" s="235">
        <f t="shared" si="10"/>
        <v>40540</v>
      </c>
      <c r="T20" s="235">
        <f t="shared" si="10"/>
        <v>44600</v>
      </c>
      <c r="U20" s="235">
        <f t="shared" si="10"/>
        <v>49060</v>
      </c>
      <c r="V20" s="235">
        <f>V16*V18</f>
        <v>53970</v>
      </c>
      <c r="W20" s="235">
        <f>W16*W18</f>
        <v>59370</v>
      </c>
      <c r="X20" s="235">
        <f>X16*X18</f>
        <v>65310</v>
      </c>
      <c r="Y20" s="235">
        <f>Y16*Y18</f>
        <v>71850</v>
      </c>
    </row>
    <row r="21" spans="1:25" s="278" customFormat="1" ht="12.75" customHeight="1" x14ac:dyDescent="0.2">
      <c r="A21" s="232" t="s">
        <v>237</v>
      </c>
      <c r="B21" s="513">
        <f>B8+B14+B20</f>
        <v>170500</v>
      </c>
      <c r="C21" s="513">
        <f>C8+C14+C20</f>
        <v>187550</v>
      </c>
      <c r="D21" s="513">
        <f t="shared" ref="D21:U21" si="11">D8+D14+D20</f>
        <v>206370</v>
      </c>
      <c r="E21" s="513">
        <f t="shared" si="11"/>
        <v>227100</v>
      </c>
      <c r="F21" s="513">
        <f t="shared" si="11"/>
        <v>249880</v>
      </c>
      <c r="G21" s="513">
        <f t="shared" si="11"/>
        <v>274980</v>
      </c>
      <c r="H21" s="513">
        <f t="shared" si="11"/>
        <v>302530</v>
      </c>
      <c r="I21" s="513">
        <f t="shared" si="11"/>
        <v>332810</v>
      </c>
      <c r="J21" s="513">
        <f t="shared" si="11"/>
        <v>366100</v>
      </c>
      <c r="K21" s="513">
        <f t="shared" si="11"/>
        <v>402790</v>
      </c>
      <c r="L21" s="513">
        <f t="shared" si="11"/>
        <v>443160</v>
      </c>
      <c r="M21" s="513">
        <f t="shared" si="11"/>
        <v>487490</v>
      </c>
      <c r="N21" s="513">
        <f t="shared" si="11"/>
        <v>536320</v>
      </c>
      <c r="O21" s="513">
        <f t="shared" si="11"/>
        <v>590060</v>
      </c>
      <c r="P21" s="513">
        <f t="shared" si="11"/>
        <v>649120</v>
      </c>
      <c r="Q21" s="513">
        <f t="shared" si="11"/>
        <v>714050</v>
      </c>
      <c r="R21" s="513">
        <f t="shared" si="11"/>
        <v>785520</v>
      </c>
      <c r="S21" s="513">
        <f t="shared" si="11"/>
        <v>864090</v>
      </c>
      <c r="T21" s="513">
        <f t="shared" si="11"/>
        <v>950570</v>
      </c>
      <c r="U21" s="513">
        <f t="shared" si="11"/>
        <v>1045640</v>
      </c>
      <c r="V21" s="513">
        <f>V8+V14+V20</f>
        <v>1150260</v>
      </c>
      <c r="W21" s="513">
        <f>W8+W14+W20</f>
        <v>1265380</v>
      </c>
      <c r="X21" s="513">
        <f>X8+X14+X20</f>
        <v>1391960</v>
      </c>
      <c r="Y21" s="513">
        <f>Y8+Y14+Y20</f>
        <v>1531230</v>
      </c>
    </row>
    <row r="22" spans="1:25" ht="12.75" customHeight="1" x14ac:dyDescent="0.2">
      <c r="A22" s="123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</row>
    <row r="23" spans="1:25" ht="12.75" customHeight="1" x14ac:dyDescent="0.2">
      <c r="A23" s="123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5" ht="12.75" customHeight="1" x14ac:dyDescent="0.2">
      <c r="A24" s="123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</row>
    <row r="25" spans="1:25" ht="12.75" customHeight="1" x14ac:dyDescent="0.2">
      <c r="A25" s="123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</row>
    <row r="26" spans="1:25" ht="12.75" customHeight="1" x14ac:dyDescent="0.2">
      <c r="A26" s="123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</row>
    <row r="27" spans="1:25" ht="12.75" customHeight="1" x14ac:dyDescent="0.2">
      <c r="A27" s="123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</row>
    <row r="28" spans="1:25" ht="12.75" customHeight="1" x14ac:dyDescent="0.2">
      <c r="A28" s="123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</row>
    <row r="29" spans="1:25" ht="12.75" customHeight="1" x14ac:dyDescent="0.2">
      <c r="A29" s="123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1:25" ht="12.75" customHeight="1" x14ac:dyDescent="0.2">
      <c r="A30" s="123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</row>
    <row r="31" spans="1:25" ht="12.75" customHeight="1" x14ac:dyDescent="0.2">
      <c r="A31" s="123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5" ht="12.75" customHeight="1" x14ac:dyDescent="0.2">
      <c r="A32" s="123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ht="12.75" customHeight="1" x14ac:dyDescent="0.2">
      <c r="A33" s="123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  <row r="34" spans="1:21" ht="12.75" customHeight="1" x14ac:dyDescent="0.2">
      <c r="A34" s="123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</row>
    <row r="35" spans="1:21" ht="12.75" customHeight="1" x14ac:dyDescent="0.2">
      <c r="A35" s="123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</row>
    <row r="36" spans="1:21" ht="12.75" customHeight="1" x14ac:dyDescent="0.2">
      <c r="A36" s="123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ht="12.75" customHeight="1" x14ac:dyDescent="0.2">
      <c r="A37" s="123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ht="12.75" customHeight="1" x14ac:dyDescent="0.2">
      <c r="A38" s="123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ht="12.75" customHeight="1" x14ac:dyDescent="0.2">
      <c r="A39" s="123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</row>
    <row r="40" spans="1:21" ht="12.75" customHeight="1" x14ac:dyDescent="0.2">
      <c r="A40" s="123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</sheetData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7"/>
  <sheetViews>
    <sheetView zoomScaleNormal="100" workbookViewId="0">
      <pane xSplit="1" topLeftCell="B1" activePane="topRight" state="frozen"/>
      <selection activeCell="F8" sqref="F8"/>
      <selection pane="topRight" activeCell="I5" sqref="I5"/>
    </sheetView>
  </sheetViews>
  <sheetFormatPr defaultColWidth="0" defaultRowHeight="0" customHeight="1" zeroHeight="1" x14ac:dyDescent="0.2"/>
  <cols>
    <col min="1" max="1" width="26.7109375" style="314" bestFit="1" customWidth="1"/>
    <col min="2" max="2" width="7" style="352" customWidth="1"/>
    <col min="3" max="6" width="7" style="330" customWidth="1"/>
    <col min="7" max="7" width="14.140625" style="330" bestFit="1" customWidth="1"/>
    <col min="8" max="12" width="8.7109375" style="314" customWidth="1"/>
    <col min="13" max="13" width="9.85546875" style="315" customWidth="1"/>
    <col min="14" max="14" width="12.7109375" style="315" customWidth="1"/>
    <col min="15" max="15" width="9.85546875" style="315" bestFit="1" customWidth="1"/>
    <col min="16" max="16" width="11.28515625" style="314" customWidth="1"/>
    <col min="17" max="17" width="10.85546875" style="314" customWidth="1"/>
    <col min="18" max="20" width="20.7109375" style="314" customWidth="1"/>
    <col min="21" max="31" width="0" style="314" hidden="1" customWidth="1"/>
    <col min="32" max="16384" width="9.140625" style="314" hidden="1"/>
  </cols>
  <sheetData>
    <row r="1" spans="1:20" ht="12" x14ac:dyDescent="0.2">
      <c r="B1" s="314"/>
      <c r="C1" s="314"/>
      <c r="D1" s="314"/>
      <c r="E1" s="314"/>
      <c r="F1" s="314"/>
      <c r="G1" s="314"/>
    </row>
    <row r="2" spans="1:20" ht="12" x14ac:dyDescent="0.2">
      <c r="B2" s="314"/>
      <c r="C2" s="314"/>
      <c r="D2" s="316"/>
      <c r="E2" s="316"/>
      <c r="F2" s="316"/>
      <c r="G2" s="314"/>
    </row>
    <row r="3" spans="1:20" ht="12" x14ac:dyDescent="0.2">
      <c r="A3" s="317" t="s">
        <v>341</v>
      </c>
      <c r="B3" s="536" t="s">
        <v>342</v>
      </c>
      <c r="C3" s="536"/>
      <c r="D3" s="536"/>
      <c r="E3" s="536"/>
      <c r="F3" s="536"/>
      <c r="G3" s="318" t="s">
        <v>343</v>
      </c>
      <c r="H3" s="536" t="s">
        <v>344</v>
      </c>
      <c r="I3" s="536"/>
      <c r="J3" s="536"/>
      <c r="K3" s="536"/>
      <c r="L3" s="536"/>
      <c r="M3" s="537" t="s">
        <v>345</v>
      </c>
      <c r="N3" s="537"/>
      <c r="O3" s="537"/>
      <c r="P3" s="537"/>
      <c r="Q3" s="537"/>
      <c r="R3" s="319"/>
      <c r="S3" s="319"/>
    </row>
    <row r="4" spans="1:20" s="320" customFormat="1" ht="12" x14ac:dyDescent="0.2">
      <c r="B4" s="321">
        <f>Inputs!C7</f>
        <v>40178</v>
      </c>
      <c r="C4" s="321">
        <f>Inputs!D7</f>
        <v>40543</v>
      </c>
      <c r="D4" s="321">
        <f>Inputs!E7</f>
        <v>40908</v>
      </c>
      <c r="E4" s="321">
        <f>Inputs!F7</f>
        <v>41273</v>
      </c>
      <c r="F4" s="321">
        <f>Inputs!G7</f>
        <v>41638</v>
      </c>
      <c r="G4" s="318"/>
      <c r="H4" s="321" t="s">
        <v>346</v>
      </c>
      <c r="I4" s="321" t="s">
        <v>347</v>
      </c>
      <c r="J4" s="321" t="s">
        <v>348</v>
      </c>
      <c r="K4" s="321" t="s">
        <v>349</v>
      </c>
      <c r="L4" s="321" t="s">
        <v>350</v>
      </c>
      <c r="M4" s="321">
        <f>B4</f>
        <v>40178</v>
      </c>
      <c r="N4" s="321">
        <f>C4</f>
        <v>40543</v>
      </c>
      <c r="O4" s="321">
        <f>D4</f>
        <v>40908</v>
      </c>
      <c r="P4" s="321">
        <f>E4</f>
        <v>41273</v>
      </c>
      <c r="Q4" s="321">
        <f>F4</f>
        <v>41638</v>
      </c>
      <c r="R4" s="322"/>
      <c r="S4" s="322"/>
      <c r="T4" s="323"/>
    </row>
    <row r="5" spans="1:20" ht="12" x14ac:dyDescent="0.2">
      <c r="A5" s="324" t="s">
        <v>351</v>
      </c>
      <c r="B5" s="331">
        <v>1</v>
      </c>
      <c r="C5" s="331">
        <v>1</v>
      </c>
      <c r="D5" s="331">
        <v>1</v>
      </c>
      <c r="E5" s="331">
        <v>1</v>
      </c>
      <c r="F5" s="331">
        <v>1</v>
      </c>
      <c r="G5" s="326">
        <v>6000</v>
      </c>
      <c r="H5" s="327">
        <f t="shared" ref="H5:H12" si="0">G5</f>
        <v>6000</v>
      </c>
      <c r="I5" s="327">
        <f xml:space="preserve"> H5*(1+$D$20)</f>
        <v>6149.9999999999991</v>
      </c>
      <c r="J5" s="327">
        <f t="shared" ref="J5:L8" si="1">I5*(1+$D$20)</f>
        <v>6303.7499999999982</v>
      </c>
      <c r="K5" s="327">
        <f t="shared" si="1"/>
        <v>6461.3437499999973</v>
      </c>
      <c r="L5" s="327">
        <f t="shared" si="1"/>
        <v>6622.8773437499967</v>
      </c>
      <c r="M5" s="328">
        <f>H$5*($B$19+$B$21)*(1+$B$16)*(1+$B$17)*(1+$B$18)*B$5</f>
        <v>99644.58</v>
      </c>
      <c r="N5" s="328">
        <f>I$5*($B$19+$B$21)*(1+$B$16)*(1+$B$17)*(1+$B$18)*C$5</f>
        <v>102135.69449999997</v>
      </c>
      <c r="O5" s="328">
        <f>J$5*($B$19+$B$21)*(1+$B$16)*(1+$B$17)*(1+$B$18)*D$5</f>
        <v>104689.08686249997</v>
      </c>
      <c r="P5" s="328">
        <f>K$5*($B$19+$B$21)*(1+$B$16)*(1+$B$17)*(1+$B$18)*E$5</f>
        <v>107306.31403406244</v>
      </c>
      <c r="Q5" s="328">
        <f>L$5*($B$19+$B$21)*(1+$B$16)*(1+$B$17)*(1+$B$18)*F$5</f>
        <v>109988.97188491402</v>
      </c>
      <c r="R5" s="329"/>
      <c r="S5" s="327"/>
      <c r="T5" s="330"/>
    </row>
    <row r="6" spans="1:20" ht="12" x14ac:dyDescent="0.2">
      <c r="A6" s="324" t="s">
        <v>352</v>
      </c>
      <c r="B6" s="331">
        <v>1</v>
      </c>
      <c r="C6" s="331">
        <v>1</v>
      </c>
      <c r="D6" s="331">
        <v>1</v>
      </c>
      <c r="E6" s="331">
        <v>1</v>
      </c>
      <c r="F6" s="331">
        <v>1</v>
      </c>
      <c r="G6" s="326">
        <v>5500</v>
      </c>
      <c r="H6" s="327">
        <f t="shared" si="0"/>
        <v>5500</v>
      </c>
      <c r="I6" s="327">
        <f>H6*(1+$D$20)</f>
        <v>5637.4999999999991</v>
      </c>
      <c r="J6" s="327">
        <f t="shared" si="1"/>
        <v>5778.4374999999982</v>
      </c>
      <c r="K6" s="327">
        <f t="shared" si="1"/>
        <v>5922.8984374999973</v>
      </c>
      <c r="L6" s="327">
        <f t="shared" si="1"/>
        <v>6070.9708984374965</v>
      </c>
      <c r="M6" s="328">
        <f>H$6*($B$19+$B$21)*(1+$B$16)*(1+$B$17)*(1+$B$18)*B$6</f>
        <v>91340.865000000005</v>
      </c>
      <c r="N6" s="328">
        <f>I$6*($B$19+$B$21)*(1+$B$16)*(1+$B$17)*(1+$B$18)*C$6</f>
        <v>93624.38662499997</v>
      </c>
      <c r="O6" s="328">
        <f>J$6*($B$19+$B$21)*(1+$B$16)*(1+$B$17)*(1+$B$18)*D$6</f>
        <v>95964.996290624971</v>
      </c>
      <c r="P6" s="328">
        <f>K$6*($B$19+$B$21)*(1+$B$16)*(1+$B$17)*(1+$B$18)*E$6</f>
        <v>98364.121197890578</v>
      </c>
      <c r="Q6" s="328">
        <f>L$6*($B$19+$B$21)*(1+$B$16)*(1+$B$17)*(1+$B$18)*F$6</f>
        <v>100823.22422783784</v>
      </c>
      <c r="R6" s="329"/>
      <c r="S6" s="327"/>
      <c r="T6" s="330"/>
    </row>
    <row r="7" spans="1:20" ht="12" x14ac:dyDescent="0.2">
      <c r="A7" s="324" t="s">
        <v>353</v>
      </c>
      <c r="B7" s="331">
        <v>1</v>
      </c>
      <c r="C7" s="331">
        <v>1</v>
      </c>
      <c r="D7" s="331">
        <v>1</v>
      </c>
      <c r="E7" s="331">
        <v>1</v>
      </c>
      <c r="F7" s="331">
        <v>1</v>
      </c>
      <c r="G7" s="326">
        <v>5000</v>
      </c>
      <c r="H7" s="327">
        <f t="shared" si="0"/>
        <v>5000</v>
      </c>
      <c r="I7" s="327">
        <f>H7*(1+$D$20)</f>
        <v>5125</v>
      </c>
      <c r="J7" s="327">
        <f t="shared" si="1"/>
        <v>5253.1249999999991</v>
      </c>
      <c r="K7" s="327">
        <f t="shared" si="1"/>
        <v>5384.4531249999982</v>
      </c>
      <c r="L7" s="327">
        <f t="shared" si="1"/>
        <v>5519.0644531249973</v>
      </c>
      <c r="M7" s="328">
        <f>H$7*($B$19+$B$21)*(1+$B$16)*(1+$B$17)*(1+$B$18)*B$7</f>
        <v>83037.149999999994</v>
      </c>
      <c r="N7" s="328">
        <f>I$7*($B$19+$B$21)*(1+$B$16)*(1+$B$17)*(1+$B$18)*C$7</f>
        <v>85113.078750000001</v>
      </c>
      <c r="O7" s="328">
        <f>J$7*($B$19+$B$21)*(1+$B$16)*(1+$B$17)*(1+$B$18)*D$7</f>
        <v>87240.905718749986</v>
      </c>
      <c r="P7" s="328">
        <f>K$7*($B$19+$B$21)*(1+$B$16)*(1+$B$17)*(1+$B$18)*E$7</f>
        <v>89421.928361718703</v>
      </c>
      <c r="Q7" s="328">
        <f>L$7*($B$19+$B$21)*(1+$B$16)*(1+$B$17)*(1+$B$18)*F$7</f>
        <v>91657.476570761646</v>
      </c>
      <c r="R7" s="329"/>
      <c r="S7" s="327"/>
      <c r="T7" s="330"/>
    </row>
    <row r="8" spans="1:20" ht="12" x14ac:dyDescent="0.2">
      <c r="A8" s="324" t="s">
        <v>354</v>
      </c>
      <c r="B8" s="331">
        <v>1</v>
      </c>
      <c r="C8" s="331">
        <v>2</v>
      </c>
      <c r="D8" s="331">
        <v>5</v>
      </c>
      <c r="E8" s="331">
        <v>7</v>
      </c>
      <c r="F8" s="331">
        <v>10</v>
      </c>
      <c r="G8" s="326">
        <v>3500</v>
      </c>
      <c r="H8" s="327">
        <f>G8</f>
        <v>3500</v>
      </c>
      <c r="I8" s="327">
        <f>H8*(1+$D$20)</f>
        <v>3587.4999999999995</v>
      </c>
      <c r="J8" s="327">
        <f t="shared" si="1"/>
        <v>3677.1874999999991</v>
      </c>
      <c r="K8" s="327">
        <f t="shared" si="1"/>
        <v>3769.1171874999986</v>
      </c>
      <c r="L8" s="327">
        <f t="shared" si="1"/>
        <v>3863.3451171874981</v>
      </c>
      <c r="M8" s="328">
        <f>H8*($B$19+$B$21)*(1+$B$16)*(1+$B$17)*(1+$B$18)*B8</f>
        <v>58126.00499999999</v>
      </c>
      <c r="N8" s="328">
        <f>I8*($B$19+$B$21)*(1+$B$16)*(1+$B$17)*(1+$B$18)*C8</f>
        <v>119158.31024999998</v>
      </c>
      <c r="O8" s="328">
        <f>J8*($B$19+$B$21)*(1+$B$16)*(1+$B$17)*(1+$B$18)*D8</f>
        <v>305343.1700156249</v>
      </c>
      <c r="P8" s="328">
        <f>K8*($B$19+$B$21)*(1+$B$16)*(1+$B$17)*(1+$B$18)*E8</f>
        <v>438167.44897242164</v>
      </c>
      <c r="Q8" s="328">
        <f>L8*($B$19+$B$21)*(1+$B$16)*(1+$B$17)*(1+$B$18)*F8</f>
        <v>641602.33599533176</v>
      </c>
      <c r="R8" s="329"/>
      <c r="S8" s="327"/>
      <c r="T8" s="330"/>
    </row>
    <row r="9" spans="1:20" ht="12" x14ac:dyDescent="0.2">
      <c r="A9" s="324" t="s">
        <v>355</v>
      </c>
      <c r="B9" s="331">
        <v>2</v>
      </c>
      <c r="C9" s="331">
        <v>3</v>
      </c>
      <c r="D9" s="331">
        <v>4</v>
      </c>
      <c r="E9" s="331">
        <v>5</v>
      </c>
      <c r="F9" s="331">
        <v>6</v>
      </c>
      <c r="G9" s="326">
        <v>6000</v>
      </c>
      <c r="H9" s="327">
        <f t="shared" si="0"/>
        <v>6000</v>
      </c>
      <c r="I9" s="327">
        <f t="shared" ref="I9:L12" si="2">H9*(1+$B$20)</f>
        <v>6300</v>
      </c>
      <c r="J9" s="327">
        <f t="shared" si="2"/>
        <v>6615</v>
      </c>
      <c r="K9" s="327">
        <f t="shared" si="2"/>
        <v>6945.75</v>
      </c>
      <c r="L9" s="327">
        <f t="shared" si="2"/>
        <v>7293.0375000000004</v>
      </c>
      <c r="M9" s="328">
        <f>$H9*($B$19+$B$21)*(1+$B$16)*(1+$B$17)*(1+$B$18)*B$9</f>
        <v>199289.16</v>
      </c>
      <c r="N9" s="328">
        <f>((H$9*($C$9-$B$9))+(I$9*$B$9))*($B$19+$B$21)*(1+$B$16)*(1+$B$17)*(1+$B$18)</f>
        <v>308898.19799999997</v>
      </c>
      <c r="O9" s="328">
        <f>((H$9*($D$9-$C$9))+(I$9*($C$9-$B$9))+(J$9*$B$9))*($B$19+$B$21)*(1+$B$16)*(1+$B$17)*(1+$B$18)</f>
        <v>423987.68789999996</v>
      </c>
      <c r="P9" s="328">
        <f>((H$9*($E$9-$D$9))+(I$9*($D$9-$C$9))+(J$9*($C$9-$B$9))+(K$9*$B$9))*($B$19+$B$21)*(1+$B$16)*(1+$B$17)*(1+$B$18)</f>
        <v>544831.65229499992</v>
      </c>
      <c r="Q9" s="328">
        <f>((H$9*($F$9-$E$9))+(I$9*($E$9-$D$9))+(J$9*($D$9-$C$9))+(K$9*($C$9-$B$9))+(L$9*$B$9))*($B$19+$B$21)*(1+$B$16)*(1+$B$17)*(1+$B$18)</f>
        <v>671717.8149097499</v>
      </c>
      <c r="R9" s="329"/>
      <c r="S9" s="327"/>
      <c r="T9" s="330"/>
    </row>
    <row r="10" spans="1:20" ht="12" x14ac:dyDescent="0.2">
      <c r="A10" s="324" t="s">
        <v>356</v>
      </c>
      <c r="B10" s="331">
        <v>4</v>
      </c>
      <c r="C10" s="331">
        <v>5</v>
      </c>
      <c r="D10" s="331">
        <v>12</v>
      </c>
      <c r="E10" s="331">
        <v>18</v>
      </c>
      <c r="F10" s="331">
        <v>27</v>
      </c>
      <c r="G10" s="326">
        <v>4000</v>
      </c>
      <c r="H10" s="327">
        <f t="shared" si="0"/>
        <v>4000</v>
      </c>
      <c r="I10" s="327">
        <f t="shared" si="2"/>
        <v>4200</v>
      </c>
      <c r="J10" s="327">
        <f t="shared" si="2"/>
        <v>4410</v>
      </c>
      <c r="K10" s="327">
        <f t="shared" si="2"/>
        <v>4630.5</v>
      </c>
      <c r="L10" s="327">
        <f t="shared" si="2"/>
        <v>4862.0250000000005</v>
      </c>
      <c r="M10" s="328">
        <f>$H10*($B$19+$B$21)*(1+$B$16)*(1+$B$17)*(1+$B$18)*B$10</f>
        <v>265718.88</v>
      </c>
      <c r="N10" s="328">
        <f>((H$10*($C$10-$B$10))+(I$10*$B$10))*($B$19+$B$21)*(1+$B$16)*(1+$B$17)*(1+$B$18)</f>
        <v>345434.54400000005</v>
      </c>
      <c r="O10" s="328">
        <f>((H$10*($D$10-$C$10))+(I$10*($C$10-$B$10))+(J$10*$B$10))*($B$19+$B$21)*(1+$B$16)*(1+$B$17)*(1+$B$18)</f>
        <v>827714.31119999988</v>
      </c>
      <c r="P10" s="328">
        <f>((H$10*($E$10-$D$10))+(I$10*($D$10-$C$10))+(J$10*($C$10-$B$10))+(K$10*$B$10))*($B$19+$B$21)*(1+$B$16)*(1+$B$17)*(1+$B$18)</f>
        <v>1267678.3467599999</v>
      </c>
      <c r="Q10" s="328">
        <f>((H$10*($F$10-$E$10))+(I$10*($E$10-$D$10))+(J$10*($D$10-$C$10))+(K$10*($C$10-$B$10))+(L$10*$B$10))*($B$19+$B$21)*(1+$B$16)*(1+$B$17)*(1+$B$18)</f>
        <v>1928929.744098</v>
      </c>
      <c r="R10" s="329"/>
      <c r="S10" s="328"/>
    </row>
    <row r="11" spans="1:20" ht="12" x14ac:dyDescent="0.2">
      <c r="A11" s="324" t="s">
        <v>357</v>
      </c>
      <c r="B11" s="331">
        <v>1</v>
      </c>
      <c r="C11" s="331">
        <v>1</v>
      </c>
      <c r="D11" s="331">
        <v>2</v>
      </c>
      <c r="E11" s="331">
        <v>3</v>
      </c>
      <c r="F11" s="331">
        <v>4</v>
      </c>
      <c r="G11" s="326">
        <v>2000</v>
      </c>
      <c r="H11" s="327">
        <f t="shared" si="0"/>
        <v>2000</v>
      </c>
      <c r="I11" s="327">
        <f t="shared" si="2"/>
        <v>2100</v>
      </c>
      <c r="J11" s="327">
        <f t="shared" si="2"/>
        <v>2205</v>
      </c>
      <c r="K11" s="327">
        <f t="shared" si="2"/>
        <v>2315.25</v>
      </c>
      <c r="L11" s="327">
        <f t="shared" si="2"/>
        <v>2431.0125000000003</v>
      </c>
      <c r="M11" s="328">
        <f>$H11*($B$19+$B$21)*(1+$B$16)*(1+$B$17)*(1+$B$18)*B$11</f>
        <v>33214.86</v>
      </c>
      <c r="N11" s="328">
        <f>((H$11*($C$11-$B$11))+(I$11*$B$11))*($B$19+$B$21)*(1+$B$16)*(1+$B$17)*(1+$B$18)</f>
        <v>34875.603000000003</v>
      </c>
      <c r="O11" s="328">
        <f>((H$11*($D$11-$C$11))+(I$11*($C$11-$B$11))+(J$11*$B$11))*($B$19+$B$21)*(1+$B$16)*(1+$B$17)*(1+$B$18)</f>
        <v>69834.243149999995</v>
      </c>
      <c r="P11" s="328">
        <f>((H$11*($E$11-$D$11))+(I$11*($D$11-$C$11))+(J$11*($C$11-$B$11))+(K$11*$B$11))*($B$19+$B$21)*(1+$B$16)*(1+$B$17)*(1+$B$18)</f>
        <v>106540.8153075</v>
      </c>
      <c r="Q11" s="328">
        <f>((H$11*($F$11-$E$11))+(I$11*($E$11-$D$11))+(J$11*($D$11-$C$11))+(K$11*($C$11-$B$11))+(L$11*$B$11))*($B$19+$B$21)*(1+$B$16)*(1+$B$17)*(1+$B$18)</f>
        <v>145082.71607287499</v>
      </c>
      <c r="R11" s="329"/>
      <c r="S11" s="328"/>
    </row>
    <row r="12" spans="1:20" ht="12" x14ac:dyDescent="0.2">
      <c r="A12" s="324" t="s">
        <v>358</v>
      </c>
      <c r="B12" s="331">
        <v>0</v>
      </c>
      <c r="C12" s="331">
        <v>0</v>
      </c>
      <c r="D12" s="331">
        <v>1</v>
      </c>
      <c r="E12" s="331">
        <v>2</v>
      </c>
      <c r="F12" s="331">
        <v>2</v>
      </c>
      <c r="G12" s="326">
        <v>2000</v>
      </c>
      <c r="H12" s="327">
        <f t="shared" si="0"/>
        <v>2000</v>
      </c>
      <c r="I12" s="327">
        <f t="shared" si="2"/>
        <v>2100</v>
      </c>
      <c r="J12" s="327">
        <f t="shared" si="2"/>
        <v>2205</v>
      </c>
      <c r="K12" s="327">
        <f t="shared" si="2"/>
        <v>2315.25</v>
      </c>
      <c r="L12" s="327">
        <f t="shared" si="2"/>
        <v>2431.0125000000003</v>
      </c>
      <c r="M12" s="328">
        <f>$H12*($B$19+$B$21)*(1+$B$16)*(1+$B$17)*(1+$B$18)*B$12</f>
        <v>0</v>
      </c>
      <c r="N12" s="328">
        <f>((H$12*($C$12-$B$12))+(I$12*$B$12))*($B$19+$B$21)*(1+$B$16)*(1+$B$17)*(1+$B$18)</f>
        <v>0</v>
      </c>
      <c r="O12" s="328">
        <f>((H$12*($D$12-$C$12))+(I$12*($C$12-$B$12))+(J$12*$B$12))*($B$19+$B$21)*(1+$B$16)*(1+$B$17)*(1+$B$18)</f>
        <v>33214.86</v>
      </c>
      <c r="P12" s="328">
        <f>((H$12*($E$12-$D$12))+(I$12*($D$12-$C$12))+(J$12*($C$12-$B$12))+(K$12*$B$12))*($B$19+$B$21)*(1+$B$16)*(1+$B$17)*(1+$B$18)</f>
        <v>68090.462999999989</v>
      </c>
      <c r="Q12" s="328">
        <f>((H$12*($F$12-$E$12))+(I$12*($E$12-$D$12))+(J$12*($D$12-$C$12))+(K$12*($C$12-$B$12))+(L$12*$B$12))*($B$19+$B$21)*(1+$B$16)*(1+$B$17)*(1+$B$18)</f>
        <v>71494.986149999997</v>
      </c>
      <c r="R12" s="329"/>
      <c r="S12" s="328"/>
    </row>
    <row r="13" spans="1:20" ht="12.75" thickBot="1" x14ac:dyDescent="0.25">
      <c r="A13" s="324" t="s">
        <v>359</v>
      </c>
      <c r="B13" s="333">
        <f>SUM(B5:B12)</f>
        <v>11</v>
      </c>
      <c r="C13" s="333">
        <f>SUM(C5:C12)</f>
        <v>14</v>
      </c>
      <c r="D13" s="333">
        <f>SUM(D5:D12)</f>
        <v>27</v>
      </c>
      <c r="E13" s="333">
        <f>SUM(E5:E12)</f>
        <v>38</v>
      </c>
      <c r="F13" s="333">
        <f>SUM(F5:F12)</f>
        <v>52</v>
      </c>
      <c r="G13" s="334"/>
      <c r="H13" s="329"/>
      <c r="I13" s="329"/>
      <c r="J13" s="329"/>
      <c r="K13" s="329"/>
      <c r="L13" s="329"/>
      <c r="M13" s="335">
        <f>SUM(M5:M12)</f>
        <v>830371.5</v>
      </c>
      <c r="N13" s="335">
        <f>SUM(N5:N12)</f>
        <v>1089239.8151249997</v>
      </c>
      <c r="O13" s="335">
        <f>SUM(O5:O12)</f>
        <v>1947989.2611374997</v>
      </c>
      <c r="P13" s="335">
        <f>SUM(P5:P12)</f>
        <v>2720401.089928593</v>
      </c>
      <c r="Q13" s="335">
        <f>SUM(Q5:Q12)</f>
        <v>3761297.2699094699</v>
      </c>
      <c r="R13" s="329"/>
      <c r="S13" s="329"/>
    </row>
    <row r="14" spans="1:20" ht="12.75" thickTop="1" x14ac:dyDescent="0.2">
      <c r="A14" s="324" t="s">
        <v>360</v>
      </c>
      <c r="B14" s="325"/>
      <c r="C14" s="325">
        <f>C13-B13</f>
        <v>3</v>
      </c>
      <c r="D14" s="325">
        <f>D13-C13</f>
        <v>13</v>
      </c>
      <c r="E14" s="325">
        <f>E13-D13</f>
        <v>11</v>
      </c>
      <c r="F14" s="325">
        <f>F13-E13</f>
        <v>14</v>
      </c>
      <c r="G14" s="334"/>
      <c r="H14" s="329"/>
      <c r="I14" s="329"/>
      <c r="J14" s="329"/>
      <c r="K14" s="329"/>
      <c r="L14" s="336" t="s">
        <v>361</v>
      </c>
      <c r="O14" s="329"/>
      <c r="P14" s="329"/>
      <c r="Q14" s="329"/>
      <c r="R14" s="329"/>
      <c r="S14" s="329"/>
    </row>
    <row r="15" spans="1:20" ht="12" x14ac:dyDescent="0.2">
      <c r="A15" s="330"/>
      <c r="B15" s="334"/>
      <c r="C15" s="334"/>
      <c r="D15" s="334"/>
      <c r="E15" s="334"/>
      <c r="F15" s="334"/>
      <c r="G15" s="334"/>
      <c r="H15" s="337"/>
      <c r="I15" s="338"/>
      <c r="J15" s="338"/>
      <c r="K15" s="338"/>
      <c r="L15" s="339" t="s">
        <v>362</v>
      </c>
      <c r="M15" s="340">
        <f>SUM(M9:N10)/SUM(M13:N13)</f>
        <v>0.58310803503839093</v>
      </c>
      <c r="O15" s="341"/>
      <c r="P15" s="341"/>
      <c r="Q15" s="341"/>
      <c r="R15" s="341"/>
      <c r="S15" s="329"/>
    </row>
    <row r="16" spans="1:20" ht="12" x14ac:dyDescent="0.2">
      <c r="A16" s="342" t="s">
        <v>363</v>
      </c>
      <c r="B16" s="343">
        <v>0.16</v>
      </c>
      <c r="C16" s="314" t="s">
        <v>364</v>
      </c>
      <c r="D16" s="314"/>
      <c r="E16" s="314"/>
      <c r="F16" s="314"/>
      <c r="G16" s="314"/>
      <c r="L16" s="344" t="s">
        <v>365</v>
      </c>
      <c r="M16" s="345">
        <f>SUM(M8:N8)/SUM(M13:N13)</f>
        <v>9.2354277062831197E-2</v>
      </c>
    </row>
    <row r="17" spans="1:25" ht="12" x14ac:dyDescent="0.2">
      <c r="A17" s="342" t="s">
        <v>366</v>
      </c>
      <c r="B17" s="343">
        <v>0.05</v>
      </c>
      <c r="C17" s="314"/>
      <c r="D17" s="314"/>
      <c r="E17" s="314"/>
      <c r="F17" s="314"/>
      <c r="G17" s="314"/>
      <c r="I17" s="330"/>
      <c r="M17" s="330"/>
      <c r="N17" s="314"/>
      <c r="O17" s="314"/>
    </row>
    <row r="18" spans="1:25" ht="12" x14ac:dyDescent="0.2">
      <c r="A18" s="342" t="s">
        <v>367</v>
      </c>
      <c r="B18" s="343">
        <v>0.01</v>
      </c>
      <c r="C18" s="314"/>
      <c r="D18" s="314"/>
      <c r="E18" s="314"/>
      <c r="F18" s="314"/>
      <c r="G18" s="314"/>
      <c r="I18" s="330"/>
      <c r="L18" s="336" t="s">
        <v>224</v>
      </c>
      <c r="M18" s="330"/>
      <c r="N18" s="314"/>
      <c r="O18" s="314"/>
    </row>
    <row r="19" spans="1:25" ht="12" x14ac:dyDescent="0.2">
      <c r="A19" s="342" t="s">
        <v>368</v>
      </c>
      <c r="B19" s="346">
        <v>1.5</v>
      </c>
      <c r="C19" s="314" t="s">
        <v>369</v>
      </c>
      <c r="D19" s="314"/>
      <c r="E19" s="314"/>
      <c r="F19" s="314"/>
      <c r="G19" s="314"/>
      <c r="I19" s="330"/>
      <c r="L19" s="342" t="s">
        <v>362</v>
      </c>
      <c r="M19" s="347">
        <f>SUM(M9:Q10)/SUM(M13:Q13)</f>
        <v>0.65552269588986489</v>
      </c>
      <c r="N19" s="314"/>
      <c r="O19" s="314"/>
    </row>
    <row r="20" spans="1:25" ht="12" x14ac:dyDescent="0.2">
      <c r="A20" s="342" t="s">
        <v>370</v>
      </c>
      <c r="B20" s="343">
        <v>0.05</v>
      </c>
      <c r="C20" s="314" t="s">
        <v>371</v>
      </c>
      <c r="D20" s="348">
        <v>2.5000000000000001E-2</v>
      </c>
      <c r="E20" s="314" t="s">
        <v>372</v>
      </c>
      <c r="F20" s="314"/>
      <c r="G20" s="314"/>
      <c r="I20" s="330"/>
      <c r="L20" s="342" t="s">
        <v>365</v>
      </c>
      <c r="M20" s="347">
        <f>SUM(M8:Q8)/SUM(M13:Q13)</f>
        <v>0.15096648380533328</v>
      </c>
      <c r="N20" s="314"/>
      <c r="O20" s="314"/>
    </row>
    <row r="21" spans="1:25" ht="12" x14ac:dyDescent="0.2">
      <c r="A21" s="342" t="s">
        <v>373</v>
      </c>
      <c r="B21" s="314">
        <v>12</v>
      </c>
      <c r="C21" s="314"/>
      <c r="D21" s="314"/>
      <c r="E21" s="314"/>
      <c r="F21" s="314"/>
      <c r="G21" s="314"/>
      <c r="I21" s="330"/>
      <c r="L21" s="342" t="s">
        <v>374</v>
      </c>
      <c r="M21" s="347">
        <f>SUM(M5:Q7)/SUM(M13:Q13)</f>
        <v>0.13917394684579096</v>
      </c>
      <c r="N21" s="314"/>
      <c r="O21" s="314"/>
    </row>
    <row r="22" spans="1:25" ht="12" x14ac:dyDescent="0.2">
      <c r="B22" s="349"/>
      <c r="D22" s="324"/>
      <c r="E22" s="350"/>
      <c r="F22" s="350"/>
      <c r="I22" s="330"/>
      <c r="M22" s="314"/>
      <c r="N22" s="314"/>
      <c r="O22" s="314"/>
    </row>
    <row r="23" spans="1:25" ht="12" x14ac:dyDescent="0.2">
      <c r="A23" s="458" t="s">
        <v>442</v>
      </c>
      <c r="B23" s="351"/>
      <c r="C23" s="351"/>
      <c r="D23" s="351"/>
      <c r="E23" s="351"/>
      <c r="F23" s="351"/>
      <c r="M23" s="314"/>
      <c r="N23" s="314"/>
      <c r="O23" s="314"/>
    </row>
    <row r="24" spans="1:25" ht="12" x14ac:dyDescent="0.2">
      <c r="A24" s="342" t="s">
        <v>375</v>
      </c>
      <c r="B24" s="331">
        <v>1</v>
      </c>
      <c r="C24" s="351">
        <f>IF(C14&gt;10,1,B24-1)</f>
        <v>0</v>
      </c>
      <c r="D24" s="351">
        <f>IF(D14&gt;10,1,B24-C24-1)</f>
        <v>1</v>
      </c>
      <c r="E24" s="351">
        <f>IF(E14&gt;10,1,B24-C24-D24-1)</f>
        <v>1</v>
      </c>
      <c r="F24" s="351">
        <f>IF(F14&gt;10,1,B24-C24-D24-E24-1)</f>
        <v>1</v>
      </c>
    </row>
    <row r="25" spans="1:25" ht="12" x14ac:dyDescent="0.2">
      <c r="A25" s="342"/>
      <c r="B25" s="351"/>
    </row>
    <row r="26" spans="1:25" ht="12" x14ac:dyDescent="0.2">
      <c r="A26" s="342"/>
      <c r="B26" s="351"/>
      <c r="C26" s="351"/>
      <c r="D26" s="351"/>
      <c r="E26" s="351"/>
      <c r="F26" s="351"/>
    </row>
    <row r="27" spans="1:25" ht="12" x14ac:dyDescent="0.2">
      <c r="A27" s="342" t="s">
        <v>376</v>
      </c>
      <c r="B27" s="352">
        <f>B24</f>
        <v>1</v>
      </c>
      <c r="C27" s="351">
        <f>IF(C14&gt;5,1,B27-1)</f>
        <v>0</v>
      </c>
      <c r="D27" s="351">
        <f>IF(D14&gt;5,1,B27-C27-1)</f>
        <v>1</v>
      </c>
      <c r="E27" s="352">
        <f>IF(E14&gt;5,1,B27-C27-D27-1)</f>
        <v>1</v>
      </c>
      <c r="F27" s="352">
        <f>IF(F14&gt;5,1,B27-C27-D27-E27-1)</f>
        <v>1</v>
      </c>
    </row>
    <row r="28" spans="1:25" ht="12" x14ac:dyDescent="0.2">
      <c r="A28" s="324"/>
      <c r="B28" s="351"/>
      <c r="C28" s="324"/>
    </row>
    <row r="29" spans="1:25" ht="12" x14ac:dyDescent="0.2">
      <c r="A29" s="342" t="s">
        <v>377</v>
      </c>
      <c r="B29" s="331">
        <v>1</v>
      </c>
      <c r="C29" s="351">
        <f>IF(C14&gt;5,1,B29-1)</f>
        <v>0</v>
      </c>
      <c r="D29" s="351">
        <f>IF(D14&gt;5,1,B29-C29-1)</f>
        <v>1</v>
      </c>
      <c r="E29" s="351">
        <f>IF(E14&gt;5,1,B29-C29-D29-1)</f>
        <v>1</v>
      </c>
      <c r="F29" s="351">
        <f>IF(F14&gt;5,1,B29-C29-D29-E29-1)</f>
        <v>1</v>
      </c>
    </row>
    <row r="30" spans="1:25" ht="12" x14ac:dyDescent="0.2">
      <c r="A30" s="342"/>
      <c r="B30" s="351"/>
      <c r="C30" s="351"/>
      <c r="D30" s="351"/>
    </row>
    <row r="31" spans="1:25" s="330" customFormat="1" ht="12" x14ac:dyDescent="0.2">
      <c r="A31" s="324" t="s">
        <v>378</v>
      </c>
      <c r="B31" s="351">
        <f>B5+B6+B7</f>
        <v>3</v>
      </c>
      <c r="C31" s="351">
        <f>C5+C6+C7-B31</f>
        <v>0</v>
      </c>
      <c r="D31" s="351">
        <f>D5+D6+D7-(C5+C6+C7)</f>
        <v>0</v>
      </c>
      <c r="E31" s="351">
        <f>E5+E6+E7-(D5+D6+D7)</f>
        <v>0</v>
      </c>
      <c r="F31" s="351">
        <f>F5+F6+F7-(E5+E6+E7)</f>
        <v>0</v>
      </c>
      <c r="H31" s="314"/>
      <c r="I31" s="314"/>
      <c r="J31" s="314"/>
      <c r="K31" s="314"/>
      <c r="L31" s="314"/>
      <c r="M31" s="315"/>
      <c r="N31" s="315"/>
      <c r="O31" s="315"/>
      <c r="P31" s="314"/>
      <c r="Q31" s="314"/>
      <c r="R31" s="314"/>
      <c r="S31" s="314"/>
      <c r="T31" s="314"/>
      <c r="U31" s="314"/>
      <c r="V31" s="314"/>
      <c r="W31" s="314"/>
      <c r="X31" s="314"/>
      <c r="Y31" s="314"/>
    </row>
    <row r="32" spans="1:25" s="330" customFormat="1" ht="12" x14ac:dyDescent="0.2">
      <c r="B32" s="351"/>
      <c r="H32" s="314"/>
      <c r="I32" s="314"/>
      <c r="J32" s="314"/>
      <c r="K32" s="314"/>
      <c r="L32" s="314"/>
      <c r="M32" s="315"/>
      <c r="N32" s="315"/>
      <c r="O32" s="315"/>
      <c r="P32" s="314"/>
      <c r="Q32" s="314"/>
      <c r="R32" s="314"/>
      <c r="S32" s="314"/>
      <c r="T32" s="314"/>
      <c r="U32" s="314"/>
      <c r="V32" s="314"/>
      <c r="W32" s="314"/>
      <c r="X32" s="314"/>
      <c r="Y32" s="314"/>
    </row>
    <row r="33" spans="1:25" s="330" customFormat="1" ht="12" x14ac:dyDescent="0.2">
      <c r="A33" s="324" t="s">
        <v>379</v>
      </c>
      <c r="B33" s="351">
        <f>B11</f>
        <v>1</v>
      </c>
      <c r="C33" s="351">
        <f>C11-B11</f>
        <v>0</v>
      </c>
      <c r="D33" s="351">
        <f>D11-C11</f>
        <v>1</v>
      </c>
      <c r="E33" s="351">
        <f>E11-D11</f>
        <v>1</v>
      </c>
      <c r="F33" s="351">
        <f>F11-E11</f>
        <v>1</v>
      </c>
      <c r="M33" s="353"/>
      <c r="N33" s="353"/>
      <c r="O33" s="353"/>
    </row>
    <row r="34" spans="1:25" s="330" customFormat="1" ht="12" x14ac:dyDescent="0.2">
      <c r="A34" s="324"/>
      <c r="B34" s="351"/>
      <c r="C34" s="351"/>
      <c r="D34" s="351"/>
      <c r="E34" s="351"/>
      <c r="F34" s="351"/>
      <c r="M34" s="353"/>
      <c r="N34" s="353"/>
      <c r="O34" s="353"/>
    </row>
    <row r="35" spans="1:25" s="330" customFormat="1" ht="12" x14ac:dyDescent="0.2">
      <c r="A35" s="324"/>
      <c r="B35" s="332"/>
      <c r="C35" s="332"/>
      <c r="D35" s="332"/>
      <c r="E35" s="332"/>
      <c r="F35" s="332"/>
      <c r="M35" s="353"/>
      <c r="N35" s="353"/>
      <c r="O35" s="353"/>
    </row>
    <row r="36" spans="1:25" s="330" customFormat="1" ht="12" x14ac:dyDescent="0.2">
      <c r="B36" s="351"/>
      <c r="C36" s="351"/>
      <c r="D36" s="351"/>
      <c r="E36" s="351"/>
      <c r="F36" s="351"/>
      <c r="M36" s="353"/>
      <c r="N36" s="353"/>
      <c r="O36" s="353"/>
    </row>
    <row r="37" spans="1:25" s="330" customFormat="1" ht="12" x14ac:dyDescent="0.2">
      <c r="A37" s="324"/>
      <c r="B37" s="351"/>
      <c r="C37" s="351"/>
      <c r="D37" s="351"/>
      <c r="E37" s="351"/>
      <c r="F37" s="351"/>
      <c r="M37" s="353"/>
      <c r="N37" s="353"/>
      <c r="O37" s="353"/>
    </row>
    <row r="38" spans="1:25" s="330" customFormat="1" ht="12" x14ac:dyDescent="0.2">
      <c r="A38" s="324"/>
      <c r="B38" s="351"/>
      <c r="C38" s="351"/>
      <c r="D38" s="351"/>
      <c r="E38" s="351"/>
      <c r="F38" s="351"/>
      <c r="M38" s="353"/>
      <c r="N38" s="353"/>
      <c r="O38" s="353"/>
    </row>
    <row r="39" spans="1:25" s="330" customFormat="1" ht="12" x14ac:dyDescent="0.2">
      <c r="A39" s="324"/>
      <c r="B39" s="351"/>
      <c r="C39" s="351"/>
      <c r="D39" s="351"/>
      <c r="E39" s="351"/>
      <c r="F39" s="351"/>
      <c r="M39" s="353"/>
      <c r="N39" s="353"/>
      <c r="O39" s="353"/>
    </row>
    <row r="40" spans="1:25" s="330" customFormat="1" ht="12" x14ac:dyDescent="0.2">
      <c r="A40" s="324"/>
      <c r="B40" s="351"/>
      <c r="C40" s="351"/>
      <c r="D40" s="351"/>
      <c r="E40" s="351"/>
      <c r="F40" s="351"/>
      <c r="M40" s="353"/>
      <c r="N40" s="353"/>
      <c r="O40" s="353"/>
    </row>
    <row r="41" spans="1:25" s="330" customFormat="1" ht="12" x14ac:dyDescent="0.2">
      <c r="H41" s="314"/>
      <c r="I41" s="314"/>
      <c r="J41" s="314"/>
      <c r="K41" s="314"/>
      <c r="L41" s="314"/>
      <c r="M41" s="315"/>
      <c r="N41" s="315"/>
      <c r="O41" s="315"/>
      <c r="P41" s="314"/>
      <c r="Q41" s="314"/>
      <c r="R41" s="314"/>
      <c r="S41" s="314"/>
      <c r="T41" s="314"/>
      <c r="U41" s="314"/>
      <c r="V41" s="314"/>
      <c r="W41" s="314"/>
      <c r="X41" s="314"/>
      <c r="Y41" s="314"/>
    </row>
    <row r="42" spans="1:25" ht="12.75" customHeight="1" x14ac:dyDescent="0.2"/>
    <row r="43" spans="1:25" ht="12.75" customHeight="1" x14ac:dyDescent="0.2"/>
    <row r="44" spans="1:25" ht="12.75" customHeight="1" x14ac:dyDescent="0.2"/>
    <row r="45" spans="1:25" ht="12.75" customHeight="1" x14ac:dyDescent="0.2"/>
    <row r="46" spans="1:25" ht="12.75" customHeight="1" x14ac:dyDescent="0.2"/>
    <row r="47" spans="1:25" ht="12.75" customHeight="1" x14ac:dyDescent="0.2"/>
  </sheetData>
  <mergeCells count="3">
    <mergeCell ref="B3:F3"/>
    <mergeCell ref="H3:L3"/>
    <mergeCell ref="M3:Q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54"/>
  <sheetViews>
    <sheetView zoomScale="90" zoomScaleNormal="90" workbookViewId="0">
      <pane xSplit="1" ySplit="5" topLeftCell="B81" activePane="bottomRight" state="frozen"/>
      <selection activeCell="F8" sqref="F8"/>
      <selection pane="topRight" activeCell="F8" sqref="F8"/>
      <selection pane="bottomLeft" activeCell="F8" sqref="F8"/>
      <selection pane="bottomRight" activeCell="C107" sqref="C107"/>
    </sheetView>
  </sheetViews>
  <sheetFormatPr defaultColWidth="15.7109375" defaultRowHeight="12" outlineLevelCol="1" x14ac:dyDescent="0.2"/>
  <cols>
    <col min="1" max="1" width="36" style="354" customWidth="1"/>
    <col min="2" max="2" width="18.7109375" style="354" customWidth="1" outlineLevel="1"/>
    <col min="3" max="7" width="11.5703125" style="354" customWidth="1" outlineLevel="1"/>
    <col min="8" max="14" width="11.5703125" style="355" customWidth="1" outlineLevel="1"/>
    <col min="15" max="15" width="11.5703125" style="355" customWidth="1"/>
    <col min="16" max="18" width="11.5703125" style="355" customWidth="1" outlineLevel="1"/>
    <col min="19" max="27" width="11.5703125" style="354" customWidth="1" outlineLevel="1"/>
    <col min="28" max="28" width="11.5703125" style="355" customWidth="1"/>
    <col min="29" max="16384" width="15.7109375" style="354"/>
  </cols>
  <sheetData>
    <row r="1" spans="1:28" ht="15.75" x14ac:dyDescent="0.25">
      <c r="A1" s="462" t="s">
        <v>443</v>
      </c>
      <c r="D1" s="383"/>
    </row>
    <row r="2" spans="1:28" ht="12.75" x14ac:dyDescent="0.2">
      <c r="D2" s="481"/>
    </row>
    <row r="3" spans="1:28" ht="12.75" x14ac:dyDescent="0.2">
      <c r="D3" s="481"/>
    </row>
    <row r="4" spans="1:28" x14ac:dyDescent="0.2">
      <c r="H4" s="354"/>
      <c r="I4" s="354"/>
    </row>
    <row r="5" spans="1:28" s="356" customFormat="1" ht="12.75" x14ac:dyDescent="0.2">
      <c r="A5" s="467" t="s">
        <v>381</v>
      </c>
      <c r="B5" s="468"/>
      <c r="C5" s="516">
        <f>'Bottom Up Revenue-24mths'!B2</f>
        <v>39844</v>
      </c>
      <c r="D5" s="516">
        <f>'Bottom Up Revenue-24mths'!C2</f>
        <v>39872</v>
      </c>
      <c r="E5" s="516">
        <f>'Bottom Up Revenue-24mths'!D2</f>
        <v>39902</v>
      </c>
      <c r="F5" s="516">
        <f>'Bottom Up Revenue-24mths'!E2</f>
        <v>39932</v>
      </c>
      <c r="G5" s="516">
        <f>'Bottom Up Revenue-24mths'!F2</f>
        <v>39962</v>
      </c>
      <c r="H5" s="516">
        <f>'Bottom Up Revenue-24mths'!G2</f>
        <v>39992</v>
      </c>
      <c r="I5" s="516">
        <f>'Bottom Up Revenue-24mths'!H2</f>
        <v>40022</v>
      </c>
      <c r="J5" s="516">
        <f>'Bottom Up Revenue-24mths'!I2</f>
        <v>40052</v>
      </c>
      <c r="K5" s="516">
        <f>'Bottom Up Revenue-24mths'!J2</f>
        <v>40082</v>
      </c>
      <c r="L5" s="516">
        <f>'Bottom Up Revenue-24mths'!K2</f>
        <v>40112</v>
      </c>
      <c r="M5" s="516">
        <f>'Bottom Up Revenue-24mths'!L2</f>
        <v>40142</v>
      </c>
      <c r="N5" s="516">
        <f>'Bottom Up Revenue-24mths'!M2</f>
        <v>40172</v>
      </c>
      <c r="O5" s="471" t="s">
        <v>155</v>
      </c>
      <c r="P5" s="469">
        <f>'Bottom Up Revenue-24mths'!N2</f>
        <v>40202</v>
      </c>
      <c r="Q5" s="469">
        <f>'Bottom Up Revenue-24mths'!O2</f>
        <v>40230</v>
      </c>
      <c r="R5" s="469">
        <f>'Bottom Up Revenue-24mths'!P2</f>
        <v>40260</v>
      </c>
      <c r="S5" s="469">
        <f>'Bottom Up Revenue-24mths'!Q2</f>
        <v>40290</v>
      </c>
      <c r="T5" s="469">
        <f>'Bottom Up Revenue-24mths'!R2</f>
        <v>40320</v>
      </c>
      <c r="U5" s="469">
        <f>'Bottom Up Revenue-24mths'!S2</f>
        <v>40350</v>
      </c>
      <c r="V5" s="469">
        <f>'Bottom Up Revenue-24mths'!T2</f>
        <v>40380</v>
      </c>
      <c r="W5" s="469">
        <f>'Bottom Up Revenue-24mths'!U2</f>
        <v>40410</v>
      </c>
      <c r="X5" s="469">
        <f>'Bottom Up Revenue-24mths'!V2</f>
        <v>40440</v>
      </c>
      <c r="Y5" s="469">
        <f>'Bottom Up Revenue-24mths'!W2</f>
        <v>40470</v>
      </c>
      <c r="Z5" s="469">
        <f>'Bottom Up Revenue-24mths'!X2</f>
        <v>40500</v>
      </c>
      <c r="AA5" s="469">
        <f>'Bottom Up Revenue-24mths'!Y2</f>
        <v>40530</v>
      </c>
      <c r="AB5" s="472" t="s">
        <v>155</v>
      </c>
    </row>
    <row r="6" spans="1:28" s="355" customFormat="1" x14ac:dyDescent="0.2">
      <c r="A6" s="323" t="s">
        <v>154</v>
      </c>
      <c r="B6" s="323"/>
      <c r="C6" s="357">
        <f>ROUNDUP(Manpower!M13/Manpower!B21,-2)</f>
        <v>69200</v>
      </c>
      <c r="D6" s="357">
        <f>$C$6</f>
        <v>69200</v>
      </c>
      <c r="E6" s="357">
        <f t="shared" ref="E6:N6" si="0">$C$6</f>
        <v>69200</v>
      </c>
      <c r="F6" s="357">
        <f t="shared" si="0"/>
        <v>69200</v>
      </c>
      <c r="G6" s="357">
        <f t="shared" si="0"/>
        <v>69200</v>
      </c>
      <c r="H6" s="357">
        <f t="shared" si="0"/>
        <v>69200</v>
      </c>
      <c r="I6" s="357">
        <f t="shared" si="0"/>
        <v>69200</v>
      </c>
      <c r="J6" s="357">
        <f t="shared" si="0"/>
        <v>69200</v>
      </c>
      <c r="K6" s="357">
        <f t="shared" si="0"/>
        <v>69200</v>
      </c>
      <c r="L6" s="357">
        <f t="shared" si="0"/>
        <v>69200</v>
      </c>
      <c r="M6" s="357">
        <f t="shared" si="0"/>
        <v>69200</v>
      </c>
      <c r="N6" s="357">
        <f t="shared" si="0"/>
        <v>69200</v>
      </c>
      <c r="O6" s="358">
        <f>SUM(C6:N6)</f>
        <v>830400</v>
      </c>
      <c r="P6" s="357">
        <f>ROUNDUP(Manpower!N13/Manpower!B21,-2)</f>
        <v>90800</v>
      </c>
      <c r="Q6" s="357">
        <f>$P$6</f>
        <v>90800</v>
      </c>
      <c r="R6" s="357">
        <f t="shared" ref="R6:AA6" si="1">$P$6</f>
        <v>90800</v>
      </c>
      <c r="S6" s="357">
        <f t="shared" si="1"/>
        <v>90800</v>
      </c>
      <c r="T6" s="357">
        <f t="shared" si="1"/>
        <v>90800</v>
      </c>
      <c r="U6" s="357">
        <f t="shared" si="1"/>
        <v>90800</v>
      </c>
      <c r="V6" s="357">
        <f t="shared" si="1"/>
        <v>90800</v>
      </c>
      <c r="W6" s="357">
        <f t="shared" si="1"/>
        <v>90800</v>
      </c>
      <c r="X6" s="357">
        <f t="shared" si="1"/>
        <v>90800</v>
      </c>
      <c r="Y6" s="357">
        <f t="shared" si="1"/>
        <v>90800</v>
      </c>
      <c r="Z6" s="357">
        <f t="shared" si="1"/>
        <v>90800</v>
      </c>
      <c r="AA6" s="357">
        <f t="shared" si="1"/>
        <v>90800</v>
      </c>
      <c r="AB6" s="358">
        <f>SUM(P6:AA6)</f>
        <v>1089600</v>
      </c>
    </row>
    <row r="7" spans="1:28" s="355" customFormat="1" x14ac:dyDescent="0.2">
      <c r="A7" s="323" t="s">
        <v>159</v>
      </c>
      <c r="B7" s="323"/>
      <c r="C7" s="359">
        <f>C9+C13+C18+C23</f>
        <v>40584</v>
      </c>
      <c r="D7" s="359">
        <f>D9+D13+D18+D23</f>
        <v>634</v>
      </c>
      <c r="E7" s="359">
        <f>E9+E13+E18+E23</f>
        <v>634</v>
      </c>
      <c r="F7" s="359">
        <f>F9+F13+F18+F23</f>
        <v>634</v>
      </c>
      <c r="G7" s="359">
        <f>G9+G13+G18+G23</f>
        <v>634</v>
      </c>
      <c r="H7" s="359">
        <f t="shared" ref="H7:AA7" si="2">H9+H13+H18+H23</f>
        <v>634</v>
      </c>
      <c r="I7" s="359">
        <f t="shared" si="2"/>
        <v>634</v>
      </c>
      <c r="J7" s="359">
        <f t="shared" si="2"/>
        <v>634</v>
      </c>
      <c r="K7" s="359">
        <f t="shared" si="2"/>
        <v>634</v>
      </c>
      <c r="L7" s="359">
        <f t="shared" si="2"/>
        <v>634</v>
      </c>
      <c r="M7" s="359">
        <f t="shared" si="2"/>
        <v>634</v>
      </c>
      <c r="N7" s="359">
        <f t="shared" si="2"/>
        <v>634</v>
      </c>
      <c r="O7" s="358">
        <f t="shared" ref="O7:O61" si="3">SUM(C7:N7)</f>
        <v>47558</v>
      </c>
      <c r="P7" s="359">
        <f t="shared" si="2"/>
        <v>6484</v>
      </c>
      <c r="Q7" s="359">
        <f t="shared" si="2"/>
        <v>634</v>
      </c>
      <c r="R7" s="359">
        <f t="shared" si="2"/>
        <v>634</v>
      </c>
      <c r="S7" s="359">
        <f t="shared" si="2"/>
        <v>634</v>
      </c>
      <c r="T7" s="359">
        <f t="shared" si="2"/>
        <v>634</v>
      </c>
      <c r="U7" s="359">
        <f t="shared" si="2"/>
        <v>634</v>
      </c>
      <c r="V7" s="359">
        <f t="shared" si="2"/>
        <v>634</v>
      </c>
      <c r="W7" s="359">
        <f t="shared" si="2"/>
        <v>634</v>
      </c>
      <c r="X7" s="359">
        <f t="shared" si="2"/>
        <v>634</v>
      </c>
      <c r="Y7" s="359">
        <f t="shared" si="2"/>
        <v>634</v>
      </c>
      <c r="Z7" s="359">
        <f t="shared" si="2"/>
        <v>634</v>
      </c>
      <c r="AA7" s="359">
        <f t="shared" si="2"/>
        <v>634</v>
      </c>
      <c r="AB7" s="358">
        <f t="shared" ref="AB7:AB61" si="4">SUM(P7:AA7)</f>
        <v>13458</v>
      </c>
    </row>
    <row r="8" spans="1:28" s="364" customFormat="1" x14ac:dyDescent="0.2">
      <c r="A8" s="360" t="s">
        <v>382</v>
      </c>
      <c r="B8" s="361"/>
      <c r="C8" s="362">
        <f>C9+C13+C18</f>
        <v>25584</v>
      </c>
      <c r="D8" s="362">
        <f t="shared" ref="D8:AA8" si="5">D9+D13+D18</f>
        <v>634</v>
      </c>
      <c r="E8" s="362">
        <f t="shared" si="5"/>
        <v>634</v>
      </c>
      <c r="F8" s="362">
        <f t="shared" si="5"/>
        <v>634</v>
      </c>
      <c r="G8" s="362">
        <f t="shared" si="5"/>
        <v>634</v>
      </c>
      <c r="H8" s="362">
        <f t="shared" si="5"/>
        <v>634</v>
      </c>
      <c r="I8" s="362">
        <f t="shared" si="5"/>
        <v>634</v>
      </c>
      <c r="J8" s="362">
        <f t="shared" si="5"/>
        <v>634</v>
      </c>
      <c r="K8" s="362">
        <f t="shared" si="5"/>
        <v>634</v>
      </c>
      <c r="L8" s="362">
        <f t="shared" si="5"/>
        <v>634</v>
      </c>
      <c r="M8" s="362">
        <f t="shared" si="5"/>
        <v>634</v>
      </c>
      <c r="N8" s="362">
        <f t="shared" si="5"/>
        <v>634</v>
      </c>
      <c r="O8" s="363">
        <f t="shared" si="3"/>
        <v>32558</v>
      </c>
      <c r="P8" s="362">
        <f t="shared" si="5"/>
        <v>6484</v>
      </c>
      <c r="Q8" s="362">
        <f t="shared" si="5"/>
        <v>634</v>
      </c>
      <c r="R8" s="362">
        <f t="shared" si="5"/>
        <v>634</v>
      </c>
      <c r="S8" s="362">
        <f t="shared" si="5"/>
        <v>634</v>
      </c>
      <c r="T8" s="362">
        <f t="shared" si="5"/>
        <v>634</v>
      </c>
      <c r="U8" s="362">
        <f t="shared" si="5"/>
        <v>634</v>
      </c>
      <c r="V8" s="362">
        <f t="shared" si="5"/>
        <v>634</v>
      </c>
      <c r="W8" s="362">
        <f t="shared" si="5"/>
        <v>634</v>
      </c>
      <c r="X8" s="362">
        <f t="shared" si="5"/>
        <v>634</v>
      </c>
      <c r="Y8" s="362">
        <f t="shared" si="5"/>
        <v>634</v>
      </c>
      <c r="Z8" s="362">
        <f t="shared" si="5"/>
        <v>634</v>
      </c>
      <c r="AA8" s="362">
        <f t="shared" si="5"/>
        <v>634</v>
      </c>
      <c r="AB8" s="363">
        <f t="shared" si="4"/>
        <v>13458</v>
      </c>
    </row>
    <row r="9" spans="1:28" s="364" customFormat="1" x14ac:dyDescent="0.2">
      <c r="A9" s="360" t="s">
        <v>383</v>
      </c>
      <c r="B9" s="360"/>
      <c r="C9" s="365">
        <f>SUM(C10:C12)</f>
        <v>19300</v>
      </c>
      <c r="D9" s="365">
        <f>SUM(D10:D12)</f>
        <v>0</v>
      </c>
      <c r="E9" s="365">
        <f>SUM(E10:E12)</f>
        <v>0</v>
      </c>
      <c r="F9" s="365">
        <f>SUM(F10:F12)</f>
        <v>0</v>
      </c>
      <c r="G9" s="365">
        <f>SUM(G10:G12)</f>
        <v>0</v>
      </c>
      <c r="H9" s="365">
        <f t="shared" ref="H9:AA9" si="6">SUM(H10:H12)</f>
        <v>0</v>
      </c>
      <c r="I9" s="365">
        <f t="shared" si="6"/>
        <v>0</v>
      </c>
      <c r="J9" s="365">
        <f t="shared" si="6"/>
        <v>0</v>
      </c>
      <c r="K9" s="365">
        <f t="shared" si="6"/>
        <v>0</v>
      </c>
      <c r="L9" s="365">
        <f t="shared" si="6"/>
        <v>0</v>
      </c>
      <c r="M9" s="365">
        <f t="shared" si="6"/>
        <v>0</v>
      </c>
      <c r="N9" s="365">
        <f t="shared" si="6"/>
        <v>0</v>
      </c>
      <c r="O9" s="363">
        <f t="shared" si="3"/>
        <v>19300</v>
      </c>
      <c r="P9" s="365">
        <f t="shared" si="6"/>
        <v>4500</v>
      </c>
      <c r="Q9" s="365">
        <f t="shared" si="6"/>
        <v>0</v>
      </c>
      <c r="R9" s="365">
        <f t="shared" si="6"/>
        <v>0</v>
      </c>
      <c r="S9" s="365">
        <f t="shared" si="6"/>
        <v>0</v>
      </c>
      <c r="T9" s="365">
        <f t="shared" si="6"/>
        <v>0</v>
      </c>
      <c r="U9" s="365">
        <f t="shared" si="6"/>
        <v>0</v>
      </c>
      <c r="V9" s="365">
        <f t="shared" si="6"/>
        <v>0</v>
      </c>
      <c r="W9" s="365">
        <f t="shared" si="6"/>
        <v>0</v>
      </c>
      <c r="X9" s="365">
        <f t="shared" si="6"/>
        <v>0</v>
      </c>
      <c r="Y9" s="365">
        <f t="shared" si="6"/>
        <v>0</v>
      </c>
      <c r="Z9" s="365">
        <f t="shared" si="6"/>
        <v>0</v>
      </c>
      <c r="AA9" s="365">
        <f t="shared" si="6"/>
        <v>0</v>
      </c>
      <c r="AB9" s="363">
        <f t="shared" si="4"/>
        <v>4500</v>
      </c>
    </row>
    <row r="10" spans="1:28" s="355" customFormat="1" x14ac:dyDescent="0.2">
      <c r="A10" s="366" t="s">
        <v>384</v>
      </c>
      <c r="B10" s="366"/>
      <c r="C10" s="367">
        <f>$B69*C69</f>
        <v>16500</v>
      </c>
      <c r="D10" s="367">
        <f t="shared" ref="D10:N12" si="7">$B69*D69</f>
        <v>0</v>
      </c>
      <c r="E10" s="367">
        <f t="shared" si="7"/>
        <v>0</v>
      </c>
      <c r="F10" s="367">
        <f t="shared" si="7"/>
        <v>0</v>
      </c>
      <c r="G10" s="367">
        <f t="shared" si="7"/>
        <v>0</v>
      </c>
      <c r="H10" s="367">
        <f t="shared" si="7"/>
        <v>0</v>
      </c>
      <c r="I10" s="367">
        <f t="shared" si="7"/>
        <v>0</v>
      </c>
      <c r="J10" s="367">
        <f t="shared" si="7"/>
        <v>0</v>
      </c>
      <c r="K10" s="367">
        <f t="shared" si="7"/>
        <v>0</v>
      </c>
      <c r="L10" s="367">
        <f t="shared" si="7"/>
        <v>0</v>
      </c>
      <c r="M10" s="367">
        <f t="shared" si="7"/>
        <v>0</v>
      </c>
      <c r="N10" s="367">
        <f t="shared" si="7"/>
        <v>0</v>
      </c>
      <c r="O10" s="363">
        <f t="shared" si="3"/>
        <v>16500</v>
      </c>
      <c r="P10" s="367">
        <f>$B69*P69</f>
        <v>4500</v>
      </c>
      <c r="Q10" s="367">
        <f t="shared" ref="Q10:AA10" si="8">$B69*Q69</f>
        <v>0</v>
      </c>
      <c r="R10" s="367">
        <f t="shared" si="8"/>
        <v>0</v>
      </c>
      <c r="S10" s="367">
        <f t="shared" si="8"/>
        <v>0</v>
      </c>
      <c r="T10" s="367">
        <f t="shared" si="8"/>
        <v>0</v>
      </c>
      <c r="U10" s="367">
        <f t="shared" si="8"/>
        <v>0</v>
      </c>
      <c r="V10" s="367">
        <f t="shared" si="8"/>
        <v>0</v>
      </c>
      <c r="W10" s="367">
        <f t="shared" si="8"/>
        <v>0</v>
      </c>
      <c r="X10" s="367">
        <f t="shared" si="8"/>
        <v>0</v>
      </c>
      <c r="Y10" s="367">
        <f t="shared" si="8"/>
        <v>0</v>
      </c>
      <c r="Z10" s="367">
        <f t="shared" si="8"/>
        <v>0</v>
      </c>
      <c r="AA10" s="367">
        <f t="shared" si="8"/>
        <v>0</v>
      </c>
      <c r="AB10" s="363">
        <f t="shared" si="4"/>
        <v>4500</v>
      </c>
    </row>
    <row r="11" spans="1:28" s="355" customFormat="1" x14ac:dyDescent="0.2">
      <c r="A11" s="366" t="s">
        <v>385</v>
      </c>
      <c r="B11" s="366"/>
      <c r="C11" s="367">
        <f>$B70*C70</f>
        <v>1800</v>
      </c>
      <c r="D11" s="367">
        <f t="shared" si="7"/>
        <v>0</v>
      </c>
      <c r="E11" s="367">
        <f t="shared" si="7"/>
        <v>0</v>
      </c>
      <c r="F11" s="367">
        <f t="shared" si="7"/>
        <v>0</v>
      </c>
      <c r="G11" s="367">
        <f t="shared" si="7"/>
        <v>0</v>
      </c>
      <c r="H11" s="367">
        <f t="shared" si="7"/>
        <v>0</v>
      </c>
      <c r="I11" s="367">
        <f t="shared" si="7"/>
        <v>0</v>
      </c>
      <c r="J11" s="367">
        <f t="shared" si="7"/>
        <v>0</v>
      </c>
      <c r="K11" s="367">
        <f t="shared" si="7"/>
        <v>0</v>
      </c>
      <c r="L11" s="367">
        <f t="shared" si="7"/>
        <v>0</v>
      </c>
      <c r="M11" s="367">
        <f t="shared" si="7"/>
        <v>0</v>
      </c>
      <c r="N11" s="367">
        <f t="shared" si="7"/>
        <v>0</v>
      </c>
      <c r="O11" s="363">
        <f t="shared" si="3"/>
        <v>1800</v>
      </c>
      <c r="P11" s="367">
        <f t="shared" ref="P11:AA17" si="9">$B70*P70</f>
        <v>0</v>
      </c>
      <c r="Q11" s="367">
        <f t="shared" si="9"/>
        <v>0</v>
      </c>
      <c r="R11" s="367">
        <f t="shared" si="9"/>
        <v>0</v>
      </c>
      <c r="S11" s="367">
        <f t="shared" si="9"/>
        <v>0</v>
      </c>
      <c r="T11" s="367">
        <f t="shared" si="9"/>
        <v>0</v>
      </c>
      <c r="U11" s="367">
        <f t="shared" si="9"/>
        <v>0</v>
      </c>
      <c r="V11" s="367">
        <f t="shared" si="9"/>
        <v>0</v>
      </c>
      <c r="W11" s="367">
        <f t="shared" si="9"/>
        <v>0</v>
      </c>
      <c r="X11" s="367">
        <f t="shared" si="9"/>
        <v>0</v>
      </c>
      <c r="Y11" s="367">
        <f t="shared" si="9"/>
        <v>0</v>
      </c>
      <c r="Z11" s="367">
        <f t="shared" si="9"/>
        <v>0</v>
      </c>
      <c r="AA11" s="367">
        <f t="shared" si="9"/>
        <v>0</v>
      </c>
      <c r="AB11" s="363">
        <f t="shared" si="4"/>
        <v>0</v>
      </c>
    </row>
    <row r="12" spans="1:28" s="355" customFormat="1" x14ac:dyDescent="0.2">
      <c r="A12" s="366" t="s">
        <v>386</v>
      </c>
      <c r="B12" s="366"/>
      <c r="C12" s="367">
        <f>$B71*C71</f>
        <v>1000</v>
      </c>
      <c r="D12" s="367">
        <f t="shared" si="7"/>
        <v>0</v>
      </c>
      <c r="E12" s="367">
        <f t="shared" si="7"/>
        <v>0</v>
      </c>
      <c r="F12" s="367">
        <f t="shared" si="7"/>
        <v>0</v>
      </c>
      <c r="G12" s="367">
        <f t="shared" si="7"/>
        <v>0</v>
      </c>
      <c r="H12" s="367">
        <f t="shared" si="7"/>
        <v>0</v>
      </c>
      <c r="I12" s="367">
        <f t="shared" si="7"/>
        <v>0</v>
      </c>
      <c r="J12" s="367">
        <f t="shared" si="7"/>
        <v>0</v>
      </c>
      <c r="K12" s="367">
        <f t="shared" si="7"/>
        <v>0</v>
      </c>
      <c r="L12" s="367">
        <f t="shared" si="7"/>
        <v>0</v>
      </c>
      <c r="M12" s="367">
        <f t="shared" si="7"/>
        <v>0</v>
      </c>
      <c r="N12" s="367">
        <f t="shared" si="7"/>
        <v>0</v>
      </c>
      <c r="O12" s="363">
        <f t="shared" si="3"/>
        <v>1000</v>
      </c>
      <c r="P12" s="367">
        <f t="shared" si="9"/>
        <v>0</v>
      </c>
      <c r="Q12" s="367">
        <f t="shared" si="9"/>
        <v>0</v>
      </c>
      <c r="R12" s="367">
        <f t="shared" si="9"/>
        <v>0</v>
      </c>
      <c r="S12" s="367">
        <f t="shared" si="9"/>
        <v>0</v>
      </c>
      <c r="T12" s="367">
        <f t="shared" si="9"/>
        <v>0</v>
      </c>
      <c r="U12" s="367">
        <f t="shared" si="9"/>
        <v>0</v>
      </c>
      <c r="V12" s="367">
        <f t="shared" si="9"/>
        <v>0</v>
      </c>
      <c r="W12" s="367">
        <f t="shared" si="9"/>
        <v>0</v>
      </c>
      <c r="X12" s="367">
        <f t="shared" si="9"/>
        <v>0</v>
      </c>
      <c r="Y12" s="367">
        <f t="shared" si="9"/>
        <v>0</v>
      </c>
      <c r="Z12" s="367">
        <f t="shared" si="9"/>
        <v>0</v>
      </c>
      <c r="AA12" s="367">
        <f t="shared" si="9"/>
        <v>0</v>
      </c>
      <c r="AB12" s="363">
        <f t="shared" si="4"/>
        <v>0</v>
      </c>
    </row>
    <row r="13" spans="1:28" s="364" customFormat="1" x14ac:dyDescent="0.2">
      <c r="A13" s="360" t="s">
        <v>387</v>
      </c>
      <c r="B13" s="360"/>
      <c r="C13" s="362">
        <f>SUM(C14:C17)</f>
        <v>5650</v>
      </c>
      <c r="D13" s="362">
        <f>SUM(D14:D17)</f>
        <v>0</v>
      </c>
      <c r="E13" s="362">
        <f>SUM(E14:E17)</f>
        <v>0</v>
      </c>
      <c r="F13" s="362">
        <f>SUM(F14:F17)</f>
        <v>0</v>
      </c>
      <c r="G13" s="362">
        <f>SUM(G14:G17)</f>
        <v>0</v>
      </c>
      <c r="H13" s="362">
        <f t="shared" ref="H13:N13" si="10">SUM(H14:H17)</f>
        <v>0</v>
      </c>
      <c r="I13" s="362">
        <f t="shared" si="10"/>
        <v>0</v>
      </c>
      <c r="J13" s="362">
        <f t="shared" si="10"/>
        <v>0</v>
      </c>
      <c r="K13" s="362">
        <f t="shared" si="10"/>
        <v>0</v>
      </c>
      <c r="L13" s="362">
        <f t="shared" si="10"/>
        <v>0</v>
      </c>
      <c r="M13" s="362">
        <f t="shared" si="10"/>
        <v>0</v>
      </c>
      <c r="N13" s="362">
        <f t="shared" si="10"/>
        <v>0</v>
      </c>
      <c r="O13" s="363">
        <f t="shared" si="3"/>
        <v>5650</v>
      </c>
      <c r="P13" s="362">
        <f>SUM(P14:P17)</f>
        <v>1350</v>
      </c>
      <c r="Q13" s="362">
        <f t="shared" ref="Q13:AA13" si="11">SUM(Q14:Q17)</f>
        <v>0</v>
      </c>
      <c r="R13" s="362">
        <f t="shared" si="11"/>
        <v>0</v>
      </c>
      <c r="S13" s="362">
        <f t="shared" si="11"/>
        <v>0</v>
      </c>
      <c r="T13" s="362">
        <f t="shared" si="11"/>
        <v>0</v>
      </c>
      <c r="U13" s="362">
        <f t="shared" si="11"/>
        <v>0</v>
      </c>
      <c r="V13" s="362">
        <f t="shared" si="11"/>
        <v>0</v>
      </c>
      <c r="W13" s="362">
        <f t="shared" si="11"/>
        <v>0</v>
      </c>
      <c r="X13" s="362">
        <f t="shared" si="11"/>
        <v>0</v>
      </c>
      <c r="Y13" s="362">
        <f t="shared" si="11"/>
        <v>0</v>
      </c>
      <c r="Z13" s="362">
        <f t="shared" si="11"/>
        <v>0</v>
      </c>
      <c r="AA13" s="362">
        <f t="shared" si="11"/>
        <v>0</v>
      </c>
      <c r="AB13" s="363">
        <f>SUM(P13:AA13)</f>
        <v>1350</v>
      </c>
    </row>
    <row r="14" spans="1:28" s="355" customFormat="1" x14ac:dyDescent="0.2">
      <c r="A14" s="366" t="s">
        <v>388</v>
      </c>
      <c r="B14" s="366"/>
      <c r="C14" s="367">
        <f>$B73*C73</f>
        <v>2750</v>
      </c>
      <c r="D14" s="367">
        <f t="shared" ref="D14:N17" si="12">$B73*D73</f>
        <v>0</v>
      </c>
      <c r="E14" s="367">
        <f t="shared" si="12"/>
        <v>0</v>
      </c>
      <c r="F14" s="367">
        <f t="shared" si="12"/>
        <v>0</v>
      </c>
      <c r="G14" s="367">
        <f t="shared" si="12"/>
        <v>0</v>
      </c>
      <c r="H14" s="367">
        <f t="shared" si="12"/>
        <v>0</v>
      </c>
      <c r="I14" s="367">
        <f t="shared" si="12"/>
        <v>0</v>
      </c>
      <c r="J14" s="367">
        <f t="shared" si="12"/>
        <v>0</v>
      </c>
      <c r="K14" s="367">
        <f t="shared" si="12"/>
        <v>0</v>
      </c>
      <c r="L14" s="367">
        <f t="shared" si="12"/>
        <v>0</v>
      </c>
      <c r="M14" s="367">
        <f t="shared" si="12"/>
        <v>0</v>
      </c>
      <c r="N14" s="367">
        <f t="shared" si="12"/>
        <v>0</v>
      </c>
      <c r="O14" s="363">
        <f t="shared" si="3"/>
        <v>2750</v>
      </c>
      <c r="P14" s="367">
        <f t="shared" si="9"/>
        <v>750</v>
      </c>
      <c r="Q14" s="367">
        <f t="shared" si="9"/>
        <v>0</v>
      </c>
      <c r="R14" s="367">
        <f t="shared" si="9"/>
        <v>0</v>
      </c>
      <c r="S14" s="367">
        <f t="shared" si="9"/>
        <v>0</v>
      </c>
      <c r="T14" s="367">
        <f t="shared" si="9"/>
        <v>0</v>
      </c>
      <c r="U14" s="367">
        <f t="shared" si="9"/>
        <v>0</v>
      </c>
      <c r="V14" s="367">
        <f t="shared" si="9"/>
        <v>0</v>
      </c>
      <c r="W14" s="367">
        <f t="shared" si="9"/>
        <v>0</v>
      </c>
      <c r="X14" s="367">
        <f t="shared" si="9"/>
        <v>0</v>
      </c>
      <c r="Y14" s="367">
        <f t="shared" si="9"/>
        <v>0</v>
      </c>
      <c r="Z14" s="367">
        <f t="shared" si="9"/>
        <v>0</v>
      </c>
      <c r="AA14" s="367">
        <f t="shared" si="9"/>
        <v>0</v>
      </c>
      <c r="AB14" s="363">
        <f t="shared" si="4"/>
        <v>750</v>
      </c>
    </row>
    <row r="15" spans="1:28" s="355" customFormat="1" x14ac:dyDescent="0.2">
      <c r="A15" s="366" t="s">
        <v>377</v>
      </c>
      <c r="B15" s="366"/>
      <c r="C15" s="367">
        <f>$B74*C74</f>
        <v>300</v>
      </c>
      <c r="D15" s="367">
        <f t="shared" si="12"/>
        <v>0</v>
      </c>
      <c r="E15" s="367">
        <f t="shared" si="12"/>
        <v>0</v>
      </c>
      <c r="F15" s="367">
        <f t="shared" si="12"/>
        <v>0</v>
      </c>
      <c r="G15" s="367">
        <f t="shared" si="12"/>
        <v>0</v>
      </c>
      <c r="H15" s="367">
        <f t="shared" si="12"/>
        <v>0</v>
      </c>
      <c r="I15" s="367">
        <f t="shared" si="12"/>
        <v>0</v>
      </c>
      <c r="J15" s="367">
        <f t="shared" si="12"/>
        <v>0</v>
      </c>
      <c r="K15" s="367">
        <f t="shared" si="12"/>
        <v>0</v>
      </c>
      <c r="L15" s="367">
        <f t="shared" si="12"/>
        <v>0</v>
      </c>
      <c r="M15" s="367">
        <f t="shared" si="12"/>
        <v>0</v>
      </c>
      <c r="N15" s="367">
        <f t="shared" si="12"/>
        <v>0</v>
      </c>
      <c r="O15" s="363">
        <f t="shared" si="3"/>
        <v>300</v>
      </c>
      <c r="P15" s="367">
        <f t="shared" si="9"/>
        <v>0</v>
      </c>
      <c r="Q15" s="367">
        <f t="shared" si="9"/>
        <v>0</v>
      </c>
      <c r="R15" s="367">
        <f t="shared" si="9"/>
        <v>0</v>
      </c>
      <c r="S15" s="367">
        <f t="shared" si="9"/>
        <v>0</v>
      </c>
      <c r="T15" s="367">
        <f t="shared" si="9"/>
        <v>0</v>
      </c>
      <c r="U15" s="367">
        <f t="shared" si="9"/>
        <v>0</v>
      </c>
      <c r="V15" s="367">
        <f t="shared" si="9"/>
        <v>0</v>
      </c>
      <c r="W15" s="367">
        <f t="shared" si="9"/>
        <v>0</v>
      </c>
      <c r="X15" s="367">
        <f t="shared" si="9"/>
        <v>0</v>
      </c>
      <c r="Y15" s="367">
        <f t="shared" si="9"/>
        <v>0</v>
      </c>
      <c r="Z15" s="367">
        <f t="shared" si="9"/>
        <v>0</v>
      </c>
      <c r="AA15" s="367">
        <f t="shared" si="9"/>
        <v>0</v>
      </c>
      <c r="AB15" s="363">
        <f t="shared" si="4"/>
        <v>0</v>
      </c>
    </row>
    <row r="16" spans="1:28" s="355" customFormat="1" x14ac:dyDescent="0.2">
      <c r="A16" s="366" t="s">
        <v>389</v>
      </c>
      <c r="B16" s="366"/>
      <c r="C16" s="367">
        <f>$B75*C75</f>
        <v>2200</v>
      </c>
      <c r="D16" s="367">
        <f t="shared" si="12"/>
        <v>0</v>
      </c>
      <c r="E16" s="367">
        <f t="shared" si="12"/>
        <v>0</v>
      </c>
      <c r="F16" s="367">
        <f t="shared" si="12"/>
        <v>0</v>
      </c>
      <c r="G16" s="367">
        <f t="shared" si="12"/>
        <v>0</v>
      </c>
      <c r="H16" s="367">
        <f t="shared" si="12"/>
        <v>0</v>
      </c>
      <c r="I16" s="367">
        <f t="shared" si="12"/>
        <v>0</v>
      </c>
      <c r="J16" s="367">
        <f t="shared" si="12"/>
        <v>0</v>
      </c>
      <c r="K16" s="367">
        <f t="shared" si="12"/>
        <v>0</v>
      </c>
      <c r="L16" s="367">
        <f t="shared" si="12"/>
        <v>0</v>
      </c>
      <c r="M16" s="367">
        <f t="shared" si="12"/>
        <v>0</v>
      </c>
      <c r="N16" s="367">
        <f t="shared" si="12"/>
        <v>0</v>
      </c>
      <c r="O16" s="363">
        <f t="shared" si="3"/>
        <v>2200</v>
      </c>
      <c r="P16" s="367">
        <f t="shared" si="9"/>
        <v>600</v>
      </c>
      <c r="Q16" s="367">
        <f t="shared" si="9"/>
        <v>0</v>
      </c>
      <c r="R16" s="367">
        <f t="shared" si="9"/>
        <v>0</v>
      </c>
      <c r="S16" s="367">
        <f t="shared" si="9"/>
        <v>0</v>
      </c>
      <c r="T16" s="367">
        <f t="shared" si="9"/>
        <v>0</v>
      </c>
      <c r="U16" s="367">
        <f t="shared" si="9"/>
        <v>0</v>
      </c>
      <c r="V16" s="367">
        <f t="shared" si="9"/>
        <v>0</v>
      </c>
      <c r="W16" s="367">
        <f t="shared" si="9"/>
        <v>0</v>
      </c>
      <c r="X16" s="367">
        <f t="shared" si="9"/>
        <v>0</v>
      </c>
      <c r="Y16" s="367">
        <f t="shared" si="9"/>
        <v>0</v>
      </c>
      <c r="Z16" s="367">
        <f t="shared" si="9"/>
        <v>0</v>
      </c>
      <c r="AA16" s="367">
        <f t="shared" si="9"/>
        <v>0</v>
      </c>
      <c r="AB16" s="363">
        <f t="shared" si="4"/>
        <v>600</v>
      </c>
    </row>
    <row r="17" spans="1:28" s="355" customFormat="1" x14ac:dyDescent="0.2">
      <c r="A17" s="366" t="s">
        <v>390</v>
      </c>
      <c r="B17" s="366"/>
      <c r="C17" s="367">
        <f>$B76*C76</f>
        <v>400</v>
      </c>
      <c r="D17" s="367">
        <f t="shared" si="12"/>
        <v>0</v>
      </c>
      <c r="E17" s="367">
        <f t="shared" si="12"/>
        <v>0</v>
      </c>
      <c r="F17" s="367">
        <f t="shared" si="12"/>
        <v>0</v>
      </c>
      <c r="G17" s="367">
        <f t="shared" si="12"/>
        <v>0</v>
      </c>
      <c r="H17" s="367">
        <f t="shared" si="12"/>
        <v>0</v>
      </c>
      <c r="I17" s="367">
        <f t="shared" si="12"/>
        <v>0</v>
      </c>
      <c r="J17" s="367">
        <f t="shared" si="12"/>
        <v>0</v>
      </c>
      <c r="K17" s="367">
        <f t="shared" si="12"/>
        <v>0</v>
      </c>
      <c r="L17" s="367">
        <f t="shared" si="12"/>
        <v>0</v>
      </c>
      <c r="M17" s="367">
        <f t="shared" si="12"/>
        <v>0</v>
      </c>
      <c r="N17" s="367">
        <f t="shared" si="12"/>
        <v>0</v>
      </c>
      <c r="O17" s="363">
        <f t="shared" si="3"/>
        <v>400</v>
      </c>
      <c r="P17" s="367">
        <f t="shared" si="9"/>
        <v>0</v>
      </c>
      <c r="Q17" s="367">
        <f t="shared" si="9"/>
        <v>0</v>
      </c>
      <c r="R17" s="367">
        <f t="shared" si="9"/>
        <v>0</v>
      </c>
      <c r="S17" s="367">
        <f t="shared" si="9"/>
        <v>0</v>
      </c>
      <c r="T17" s="367">
        <f t="shared" si="9"/>
        <v>0</v>
      </c>
      <c r="U17" s="367">
        <f t="shared" si="9"/>
        <v>0</v>
      </c>
      <c r="V17" s="367">
        <f t="shared" si="9"/>
        <v>0</v>
      </c>
      <c r="W17" s="367">
        <f t="shared" si="9"/>
        <v>0</v>
      </c>
      <c r="X17" s="367">
        <f t="shared" si="9"/>
        <v>0</v>
      </c>
      <c r="Y17" s="367">
        <f t="shared" si="9"/>
        <v>0</v>
      </c>
      <c r="Z17" s="367">
        <f t="shared" si="9"/>
        <v>0</v>
      </c>
      <c r="AA17" s="367">
        <f t="shared" si="9"/>
        <v>0</v>
      </c>
      <c r="AB17" s="363">
        <f t="shared" si="4"/>
        <v>0</v>
      </c>
    </row>
    <row r="18" spans="1:28" s="364" customFormat="1" x14ac:dyDescent="0.2">
      <c r="A18" s="360" t="s">
        <v>391</v>
      </c>
      <c r="B18" s="360"/>
      <c r="C18" s="362">
        <f>C19</f>
        <v>634</v>
      </c>
      <c r="D18" s="362">
        <f t="shared" ref="D18:N18" si="13">D19</f>
        <v>634</v>
      </c>
      <c r="E18" s="362">
        <f t="shared" si="13"/>
        <v>634</v>
      </c>
      <c r="F18" s="362">
        <f t="shared" si="13"/>
        <v>634</v>
      </c>
      <c r="G18" s="362">
        <f t="shared" si="13"/>
        <v>634</v>
      </c>
      <c r="H18" s="362">
        <f t="shared" si="13"/>
        <v>634</v>
      </c>
      <c r="I18" s="362">
        <f t="shared" si="13"/>
        <v>634</v>
      </c>
      <c r="J18" s="362">
        <f t="shared" si="13"/>
        <v>634</v>
      </c>
      <c r="K18" s="362">
        <f t="shared" si="13"/>
        <v>634</v>
      </c>
      <c r="L18" s="362">
        <f t="shared" si="13"/>
        <v>634</v>
      </c>
      <c r="M18" s="362">
        <f t="shared" si="13"/>
        <v>634</v>
      </c>
      <c r="N18" s="362">
        <f t="shared" si="13"/>
        <v>634</v>
      </c>
      <c r="O18" s="363">
        <f t="shared" si="3"/>
        <v>7608</v>
      </c>
      <c r="P18" s="362">
        <f t="shared" ref="P18:AA18" si="14">P19</f>
        <v>634</v>
      </c>
      <c r="Q18" s="362">
        <f t="shared" si="14"/>
        <v>634</v>
      </c>
      <c r="R18" s="362">
        <f t="shared" si="14"/>
        <v>634</v>
      </c>
      <c r="S18" s="362">
        <f t="shared" si="14"/>
        <v>634</v>
      </c>
      <c r="T18" s="362">
        <f t="shared" si="14"/>
        <v>634</v>
      </c>
      <c r="U18" s="362">
        <f t="shared" si="14"/>
        <v>634</v>
      </c>
      <c r="V18" s="362">
        <f t="shared" si="14"/>
        <v>634</v>
      </c>
      <c r="W18" s="362">
        <f t="shared" si="14"/>
        <v>634</v>
      </c>
      <c r="X18" s="362">
        <f t="shared" si="14"/>
        <v>634</v>
      </c>
      <c r="Y18" s="362">
        <f t="shared" si="14"/>
        <v>634</v>
      </c>
      <c r="Z18" s="362">
        <f t="shared" si="14"/>
        <v>634</v>
      </c>
      <c r="AA18" s="362">
        <f t="shared" si="14"/>
        <v>634</v>
      </c>
      <c r="AB18" s="363">
        <f t="shared" si="4"/>
        <v>7608</v>
      </c>
    </row>
    <row r="19" spans="1:28" x14ac:dyDescent="0.2">
      <c r="A19" s="366" t="s">
        <v>392</v>
      </c>
      <c r="B19" s="368"/>
      <c r="C19" s="367">
        <f>$B78*C78</f>
        <v>634</v>
      </c>
      <c r="D19" s="367">
        <f t="shared" ref="D19:N19" si="15">$B78*D78</f>
        <v>634</v>
      </c>
      <c r="E19" s="367">
        <f t="shared" si="15"/>
        <v>634</v>
      </c>
      <c r="F19" s="367">
        <f t="shared" si="15"/>
        <v>634</v>
      </c>
      <c r="G19" s="367">
        <f t="shared" si="15"/>
        <v>634</v>
      </c>
      <c r="H19" s="367">
        <f t="shared" si="15"/>
        <v>634</v>
      </c>
      <c r="I19" s="367">
        <f t="shared" si="15"/>
        <v>634</v>
      </c>
      <c r="J19" s="367">
        <f t="shared" si="15"/>
        <v>634</v>
      </c>
      <c r="K19" s="367">
        <f t="shared" si="15"/>
        <v>634</v>
      </c>
      <c r="L19" s="367">
        <f t="shared" si="15"/>
        <v>634</v>
      </c>
      <c r="M19" s="367">
        <f t="shared" si="15"/>
        <v>634</v>
      </c>
      <c r="N19" s="367">
        <f t="shared" si="15"/>
        <v>634</v>
      </c>
      <c r="O19" s="363">
        <f t="shared" si="3"/>
        <v>7608</v>
      </c>
      <c r="P19" s="367">
        <f t="shared" ref="P19:AA19" si="16">$B78*P78</f>
        <v>634</v>
      </c>
      <c r="Q19" s="367">
        <f t="shared" si="16"/>
        <v>634</v>
      </c>
      <c r="R19" s="367">
        <f t="shared" si="16"/>
        <v>634</v>
      </c>
      <c r="S19" s="367">
        <f t="shared" si="16"/>
        <v>634</v>
      </c>
      <c r="T19" s="367">
        <f t="shared" si="16"/>
        <v>634</v>
      </c>
      <c r="U19" s="367">
        <f t="shared" si="16"/>
        <v>634</v>
      </c>
      <c r="V19" s="367">
        <f t="shared" si="16"/>
        <v>634</v>
      </c>
      <c r="W19" s="367">
        <f t="shared" si="16"/>
        <v>634</v>
      </c>
      <c r="X19" s="367">
        <f t="shared" si="16"/>
        <v>634</v>
      </c>
      <c r="Y19" s="367">
        <f t="shared" si="16"/>
        <v>634</v>
      </c>
      <c r="Z19" s="367">
        <f t="shared" si="16"/>
        <v>634</v>
      </c>
      <c r="AA19" s="367">
        <f t="shared" si="16"/>
        <v>634</v>
      </c>
      <c r="AB19" s="363">
        <f t="shared" si="4"/>
        <v>7608</v>
      </c>
    </row>
    <row r="20" spans="1:28" s="371" customFormat="1" x14ac:dyDescent="0.2">
      <c r="A20" s="369" t="s">
        <v>393</v>
      </c>
      <c r="B20" s="369"/>
      <c r="C20" s="370"/>
      <c r="O20" s="363">
        <f t="shared" si="3"/>
        <v>0</v>
      </c>
      <c r="AB20" s="363">
        <f t="shared" si="4"/>
        <v>0</v>
      </c>
    </row>
    <row r="21" spans="1:28" s="371" customFormat="1" x14ac:dyDescent="0.2">
      <c r="A21" s="372" t="s">
        <v>394</v>
      </c>
      <c r="B21" s="372"/>
      <c r="C21" s="370"/>
      <c r="O21" s="363">
        <f t="shared" si="3"/>
        <v>0</v>
      </c>
      <c r="AB21" s="363">
        <f t="shared" si="4"/>
        <v>0</v>
      </c>
    </row>
    <row r="22" spans="1:28" s="371" customFormat="1" x14ac:dyDescent="0.2">
      <c r="A22" s="372" t="s">
        <v>395</v>
      </c>
      <c r="B22" s="372"/>
      <c r="C22" s="370"/>
      <c r="O22" s="363">
        <f t="shared" si="3"/>
        <v>0</v>
      </c>
      <c r="AB22" s="363">
        <f t="shared" si="4"/>
        <v>0</v>
      </c>
    </row>
    <row r="23" spans="1:28" s="374" customFormat="1" x14ac:dyDescent="0.2">
      <c r="A23" s="360" t="s">
        <v>396</v>
      </c>
      <c r="B23" s="373"/>
      <c r="C23" s="362">
        <f>C24</f>
        <v>15000</v>
      </c>
      <c r="D23" s="362">
        <f>D24</f>
        <v>0</v>
      </c>
      <c r="E23" s="362">
        <f>E24</f>
        <v>0</v>
      </c>
      <c r="F23" s="362">
        <f>F24</f>
        <v>0</v>
      </c>
      <c r="G23" s="362">
        <f>G24</f>
        <v>0</v>
      </c>
      <c r="H23" s="362">
        <f t="shared" ref="H23:AA23" si="17">H24</f>
        <v>0</v>
      </c>
      <c r="I23" s="362">
        <f t="shared" si="17"/>
        <v>0</v>
      </c>
      <c r="J23" s="362">
        <f t="shared" si="17"/>
        <v>0</v>
      </c>
      <c r="K23" s="362">
        <f t="shared" si="17"/>
        <v>0</v>
      </c>
      <c r="L23" s="362">
        <f t="shared" si="17"/>
        <v>0</v>
      </c>
      <c r="M23" s="362">
        <f t="shared" si="17"/>
        <v>0</v>
      </c>
      <c r="N23" s="362">
        <f t="shared" si="17"/>
        <v>0</v>
      </c>
      <c r="O23" s="363">
        <f t="shared" si="3"/>
        <v>15000</v>
      </c>
      <c r="P23" s="362">
        <f t="shared" si="17"/>
        <v>0</v>
      </c>
      <c r="Q23" s="362">
        <f t="shared" si="17"/>
        <v>0</v>
      </c>
      <c r="R23" s="362">
        <f t="shared" si="17"/>
        <v>0</v>
      </c>
      <c r="S23" s="362">
        <f t="shared" si="17"/>
        <v>0</v>
      </c>
      <c r="T23" s="362">
        <f t="shared" si="17"/>
        <v>0</v>
      </c>
      <c r="U23" s="362">
        <f t="shared" si="17"/>
        <v>0</v>
      </c>
      <c r="V23" s="362">
        <f t="shared" si="17"/>
        <v>0</v>
      </c>
      <c r="W23" s="362">
        <f t="shared" si="17"/>
        <v>0</v>
      </c>
      <c r="X23" s="362">
        <f t="shared" si="17"/>
        <v>0</v>
      </c>
      <c r="Y23" s="362">
        <f t="shared" si="17"/>
        <v>0</v>
      </c>
      <c r="Z23" s="362">
        <f t="shared" si="17"/>
        <v>0</v>
      </c>
      <c r="AA23" s="362">
        <f t="shared" si="17"/>
        <v>0</v>
      </c>
      <c r="AB23" s="363">
        <f t="shared" si="4"/>
        <v>0</v>
      </c>
    </row>
    <row r="24" spans="1:28" x14ac:dyDescent="0.2">
      <c r="A24" s="366" t="s">
        <v>397</v>
      </c>
      <c r="B24" s="366"/>
      <c r="C24" s="367">
        <f>$B83*C83</f>
        <v>15000</v>
      </c>
      <c r="D24" s="367">
        <f t="shared" ref="D24:N24" si="18">$B83*D83</f>
        <v>0</v>
      </c>
      <c r="E24" s="367">
        <f t="shared" si="18"/>
        <v>0</v>
      </c>
      <c r="F24" s="367">
        <f t="shared" si="18"/>
        <v>0</v>
      </c>
      <c r="G24" s="367">
        <f t="shared" si="18"/>
        <v>0</v>
      </c>
      <c r="H24" s="367">
        <f t="shared" si="18"/>
        <v>0</v>
      </c>
      <c r="I24" s="367">
        <f t="shared" si="18"/>
        <v>0</v>
      </c>
      <c r="J24" s="367">
        <f t="shared" si="18"/>
        <v>0</v>
      </c>
      <c r="K24" s="367">
        <f t="shared" si="18"/>
        <v>0</v>
      </c>
      <c r="L24" s="367">
        <f t="shared" si="18"/>
        <v>0</v>
      </c>
      <c r="M24" s="367">
        <f t="shared" si="18"/>
        <v>0</v>
      </c>
      <c r="N24" s="367">
        <f t="shared" si="18"/>
        <v>0</v>
      </c>
      <c r="O24" s="363">
        <f t="shared" si="3"/>
        <v>15000</v>
      </c>
      <c r="P24" s="367">
        <f t="shared" ref="P24:AA24" si="19">$B83*P83</f>
        <v>0</v>
      </c>
      <c r="Q24" s="367">
        <f t="shared" si="19"/>
        <v>0</v>
      </c>
      <c r="R24" s="367">
        <f t="shared" si="19"/>
        <v>0</v>
      </c>
      <c r="S24" s="367">
        <f t="shared" si="19"/>
        <v>0</v>
      </c>
      <c r="T24" s="367">
        <f t="shared" si="19"/>
        <v>0</v>
      </c>
      <c r="U24" s="367">
        <f t="shared" si="19"/>
        <v>0</v>
      </c>
      <c r="V24" s="367">
        <f t="shared" si="19"/>
        <v>0</v>
      </c>
      <c r="W24" s="367">
        <f t="shared" si="19"/>
        <v>0</v>
      </c>
      <c r="X24" s="367">
        <f t="shared" si="19"/>
        <v>0</v>
      </c>
      <c r="Y24" s="367">
        <f t="shared" si="19"/>
        <v>0</v>
      </c>
      <c r="Z24" s="367">
        <f t="shared" si="19"/>
        <v>0</v>
      </c>
      <c r="AA24" s="367">
        <f t="shared" si="19"/>
        <v>0</v>
      </c>
      <c r="AB24" s="363">
        <f t="shared" si="4"/>
        <v>0</v>
      </c>
    </row>
    <row r="25" spans="1:28" x14ac:dyDescent="0.2">
      <c r="A25" s="375" t="s">
        <v>160</v>
      </c>
      <c r="B25" s="375"/>
      <c r="C25" s="376">
        <f>SUM(C26:C31)</f>
        <v>14700</v>
      </c>
      <c r="D25" s="376">
        <f>SUM(D26:D31)</f>
        <v>500</v>
      </c>
      <c r="E25" s="376">
        <f>SUM(E26:E31)</f>
        <v>500</v>
      </c>
      <c r="F25" s="376">
        <f>SUM(F26:F31)</f>
        <v>5500</v>
      </c>
      <c r="G25" s="376">
        <f>SUM(G26:G31)</f>
        <v>500</v>
      </c>
      <c r="H25" s="376">
        <f t="shared" ref="H25:AA25" si="20">SUM(H26:H31)</f>
        <v>500</v>
      </c>
      <c r="I25" s="376">
        <f t="shared" si="20"/>
        <v>8000</v>
      </c>
      <c r="J25" s="376">
        <f t="shared" si="20"/>
        <v>500</v>
      </c>
      <c r="K25" s="376">
        <f t="shared" si="20"/>
        <v>500</v>
      </c>
      <c r="L25" s="376">
        <f t="shared" si="20"/>
        <v>5500</v>
      </c>
      <c r="M25" s="376">
        <f t="shared" si="20"/>
        <v>500</v>
      </c>
      <c r="N25" s="376">
        <f t="shared" si="20"/>
        <v>500</v>
      </c>
      <c r="O25" s="358">
        <f t="shared" si="3"/>
        <v>37700</v>
      </c>
      <c r="P25" s="376">
        <f t="shared" si="20"/>
        <v>14000</v>
      </c>
      <c r="Q25" s="376">
        <f t="shared" si="20"/>
        <v>500</v>
      </c>
      <c r="R25" s="376">
        <f t="shared" si="20"/>
        <v>500</v>
      </c>
      <c r="S25" s="376">
        <f t="shared" si="20"/>
        <v>5500</v>
      </c>
      <c r="T25" s="376">
        <f t="shared" si="20"/>
        <v>500</v>
      </c>
      <c r="U25" s="376">
        <f t="shared" si="20"/>
        <v>500</v>
      </c>
      <c r="V25" s="376">
        <f t="shared" si="20"/>
        <v>8000</v>
      </c>
      <c r="W25" s="376">
        <f t="shared" si="20"/>
        <v>500</v>
      </c>
      <c r="X25" s="376">
        <f t="shared" si="20"/>
        <v>500</v>
      </c>
      <c r="Y25" s="376">
        <f t="shared" si="20"/>
        <v>5500</v>
      </c>
      <c r="Z25" s="376">
        <f t="shared" si="20"/>
        <v>500</v>
      </c>
      <c r="AA25" s="376">
        <f t="shared" si="20"/>
        <v>500</v>
      </c>
      <c r="AB25" s="358">
        <f t="shared" si="4"/>
        <v>37000</v>
      </c>
    </row>
    <row r="26" spans="1:28" x14ac:dyDescent="0.2">
      <c r="A26" s="368" t="s">
        <v>398</v>
      </c>
      <c r="B26" s="368"/>
      <c r="C26" s="367">
        <f>$B85*C85</f>
        <v>5000</v>
      </c>
      <c r="D26" s="367">
        <f t="shared" ref="D26:N26" si="21">$B85*D85</f>
        <v>0</v>
      </c>
      <c r="E26" s="367">
        <f t="shared" si="21"/>
        <v>0</v>
      </c>
      <c r="F26" s="367">
        <f t="shared" si="21"/>
        <v>5000</v>
      </c>
      <c r="G26" s="367">
        <f t="shared" si="21"/>
        <v>0</v>
      </c>
      <c r="H26" s="367">
        <f t="shared" si="21"/>
        <v>0</v>
      </c>
      <c r="I26" s="367">
        <f t="shared" si="21"/>
        <v>5000</v>
      </c>
      <c r="J26" s="367">
        <f t="shared" si="21"/>
        <v>0</v>
      </c>
      <c r="K26" s="367">
        <f t="shared" si="21"/>
        <v>0</v>
      </c>
      <c r="L26" s="367">
        <f t="shared" si="21"/>
        <v>5000</v>
      </c>
      <c r="M26" s="367">
        <f t="shared" si="21"/>
        <v>0</v>
      </c>
      <c r="N26" s="367">
        <f t="shared" si="21"/>
        <v>0</v>
      </c>
      <c r="O26" s="363">
        <f t="shared" si="3"/>
        <v>20000</v>
      </c>
      <c r="P26" s="367">
        <f t="shared" ref="P26:AA26" si="22">$B85*P85</f>
        <v>5000</v>
      </c>
      <c r="Q26" s="367">
        <f t="shared" si="22"/>
        <v>0</v>
      </c>
      <c r="R26" s="367">
        <f t="shared" si="22"/>
        <v>0</v>
      </c>
      <c r="S26" s="367">
        <f t="shared" si="22"/>
        <v>5000</v>
      </c>
      <c r="T26" s="367">
        <f t="shared" si="22"/>
        <v>0</v>
      </c>
      <c r="U26" s="367">
        <f t="shared" si="22"/>
        <v>0</v>
      </c>
      <c r="V26" s="367">
        <f t="shared" si="22"/>
        <v>5000</v>
      </c>
      <c r="W26" s="367">
        <f t="shared" si="22"/>
        <v>0</v>
      </c>
      <c r="X26" s="367">
        <f t="shared" si="22"/>
        <v>0</v>
      </c>
      <c r="Y26" s="367">
        <f t="shared" si="22"/>
        <v>5000</v>
      </c>
      <c r="Z26" s="367">
        <f t="shared" si="22"/>
        <v>0</v>
      </c>
      <c r="AA26" s="367">
        <f t="shared" si="22"/>
        <v>0</v>
      </c>
      <c r="AB26" s="363">
        <f t="shared" si="4"/>
        <v>20000</v>
      </c>
    </row>
    <row r="27" spans="1:28" x14ac:dyDescent="0.2">
      <c r="A27" s="368" t="s">
        <v>399</v>
      </c>
      <c r="B27" s="368"/>
      <c r="C27" s="367">
        <f>($B87*C87)+($B88*C88)+($B89*C89)+($B90*C90)+($B91*C91)+($B92*C92)</f>
        <v>1700</v>
      </c>
      <c r="D27" s="367">
        <f t="shared" ref="D27:N27" si="23">($B87*D87)+($B88*D88)+($B89*D89)+($B90*D90)+($B91*D91)+($B92*D92)</f>
        <v>0</v>
      </c>
      <c r="E27" s="367">
        <f t="shared" si="23"/>
        <v>0</v>
      </c>
      <c r="F27" s="367">
        <f t="shared" si="23"/>
        <v>0</v>
      </c>
      <c r="G27" s="367">
        <f t="shared" si="23"/>
        <v>0</v>
      </c>
      <c r="H27" s="367">
        <f t="shared" si="23"/>
        <v>0</v>
      </c>
      <c r="I27" s="367">
        <f t="shared" si="23"/>
        <v>0</v>
      </c>
      <c r="J27" s="367">
        <f t="shared" si="23"/>
        <v>0</v>
      </c>
      <c r="K27" s="367">
        <f t="shared" si="23"/>
        <v>0</v>
      </c>
      <c r="L27" s="367">
        <f t="shared" si="23"/>
        <v>0</v>
      </c>
      <c r="M27" s="367">
        <f t="shared" si="23"/>
        <v>0</v>
      </c>
      <c r="N27" s="367">
        <f t="shared" si="23"/>
        <v>0</v>
      </c>
      <c r="O27" s="363">
        <f t="shared" si="3"/>
        <v>1700</v>
      </c>
      <c r="P27" s="367">
        <f t="shared" ref="P27:AA27" si="24">($B87*P87)+($B88*P88)+($B89*P89)+($B90*P90)+($B91*P91)+($B92*P92)</f>
        <v>0</v>
      </c>
      <c r="Q27" s="367">
        <f t="shared" si="24"/>
        <v>0</v>
      </c>
      <c r="R27" s="367">
        <f t="shared" si="24"/>
        <v>0</v>
      </c>
      <c r="S27" s="367">
        <f t="shared" si="24"/>
        <v>0</v>
      </c>
      <c r="T27" s="367">
        <f t="shared" si="24"/>
        <v>0</v>
      </c>
      <c r="U27" s="367">
        <f t="shared" si="24"/>
        <v>0</v>
      </c>
      <c r="V27" s="367">
        <f t="shared" si="24"/>
        <v>0</v>
      </c>
      <c r="W27" s="367">
        <f t="shared" si="24"/>
        <v>0</v>
      </c>
      <c r="X27" s="367">
        <f t="shared" si="24"/>
        <v>0</v>
      </c>
      <c r="Y27" s="367">
        <f t="shared" si="24"/>
        <v>0</v>
      </c>
      <c r="Z27" s="367">
        <f t="shared" si="24"/>
        <v>0</v>
      </c>
      <c r="AA27" s="367">
        <f t="shared" si="24"/>
        <v>0</v>
      </c>
      <c r="AB27" s="363">
        <f t="shared" si="4"/>
        <v>0</v>
      </c>
    </row>
    <row r="28" spans="1:28" x14ac:dyDescent="0.2">
      <c r="A28" s="368" t="s">
        <v>400</v>
      </c>
      <c r="B28" s="368"/>
      <c r="C28" s="367">
        <f>$B93*C93</f>
        <v>0</v>
      </c>
      <c r="D28" s="367">
        <f>$B93*D93</f>
        <v>0</v>
      </c>
      <c r="E28" s="367">
        <f>$B93*E93</f>
        <v>0</v>
      </c>
      <c r="F28" s="367">
        <f>$B93*F93</f>
        <v>0</v>
      </c>
      <c r="G28" s="367">
        <f>$B93*G93</f>
        <v>0</v>
      </c>
      <c r="H28" s="367">
        <f t="shared" ref="H28:AA31" si="25">$B93*H93</f>
        <v>0</v>
      </c>
      <c r="I28" s="367">
        <f t="shared" si="25"/>
        <v>0</v>
      </c>
      <c r="J28" s="367">
        <f t="shared" si="25"/>
        <v>0</v>
      </c>
      <c r="K28" s="367">
        <f t="shared" si="25"/>
        <v>0</v>
      </c>
      <c r="L28" s="367">
        <f t="shared" si="25"/>
        <v>0</v>
      </c>
      <c r="M28" s="367">
        <f t="shared" si="25"/>
        <v>0</v>
      </c>
      <c r="N28" s="367">
        <f t="shared" si="25"/>
        <v>0</v>
      </c>
      <c r="O28" s="363">
        <f t="shared" si="3"/>
        <v>0</v>
      </c>
      <c r="P28" s="367">
        <f t="shared" si="25"/>
        <v>1000</v>
      </c>
      <c r="Q28" s="367">
        <f t="shared" si="25"/>
        <v>0</v>
      </c>
      <c r="R28" s="367">
        <f t="shared" si="25"/>
        <v>0</v>
      </c>
      <c r="S28" s="367">
        <f t="shared" si="25"/>
        <v>0</v>
      </c>
      <c r="T28" s="367">
        <f t="shared" si="25"/>
        <v>0</v>
      </c>
      <c r="U28" s="367">
        <f t="shared" si="25"/>
        <v>0</v>
      </c>
      <c r="V28" s="367">
        <f t="shared" si="25"/>
        <v>0</v>
      </c>
      <c r="W28" s="367">
        <f t="shared" si="25"/>
        <v>0</v>
      </c>
      <c r="X28" s="367">
        <f t="shared" si="25"/>
        <v>0</v>
      </c>
      <c r="Y28" s="367">
        <f t="shared" si="25"/>
        <v>0</v>
      </c>
      <c r="Z28" s="367">
        <f t="shared" si="25"/>
        <v>0</v>
      </c>
      <c r="AA28" s="367">
        <f t="shared" si="25"/>
        <v>0</v>
      </c>
      <c r="AB28" s="363">
        <f t="shared" si="4"/>
        <v>1000</v>
      </c>
    </row>
    <row r="29" spans="1:28" x14ac:dyDescent="0.2">
      <c r="A29" s="368" t="s">
        <v>401</v>
      </c>
      <c r="B29" s="368"/>
      <c r="C29" s="367">
        <f>$B94*C94</f>
        <v>0</v>
      </c>
      <c r="D29" s="367">
        <f t="shared" ref="D29:S31" si="26">$B94*D94</f>
        <v>0</v>
      </c>
      <c r="E29" s="367">
        <f t="shared" si="26"/>
        <v>0</v>
      </c>
      <c r="F29" s="367">
        <f t="shared" si="26"/>
        <v>0</v>
      </c>
      <c r="G29" s="367">
        <f t="shared" si="26"/>
        <v>0</v>
      </c>
      <c r="H29" s="367">
        <f t="shared" si="26"/>
        <v>0</v>
      </c>
      <c r="I29" s="367">
        <f t="shared" si="26"/>
        <v>2500</v>
      </c>
      <c r="J29" s="367">
        <f t="shared" si="26"/>
        <v>0</v>
      </c>
      <c r="K29" s="367">
        <f t="shared" si="26"/>
        <v>0</v>
      </c>
      <c r="L29" s="367">
        <f t="shared" si="26"/>
        <v>0</v>
      </c>
      <c r="M29" s="367">
        <f t="shared" si="26"/>
        <v>0</v>
      </c>
      <c r="N29" s="367">
        <f t="shared" si="26"/>
        <v>0</v>
      </c>
      <c r="O29" s="363">
        <f t="shared" si="3"/>
        <v>2500</v>
      </c>
      <c r="P29" s="367">
        <f t="shared" si="26"/>
        <v>0</v>
      </c>
      <c r="Q29" s="367">
        <f t="shared" si="25"/>
        <v>0</v>
      </c>
      <c r="R29" s="367">
        <f t="shared" si="25"/>
        <v>0</v>
      </c>
      <c r="S29" s="367">
        <f t="shared" si="25"/>
        <v>0</v>
      </c>
      <c r="T29" s="367">
        <f t="shared" si="25"/>
        <v>0</v>
      </c>
      <c r="U29" s="367">
        <f t="shared" si="25"/>
        <v>0</v>
      </c>
      <c r="V29" s="367">
        <f t="shared" si="25"/>
        <v>2500</v>
      </c>
      <c r="W29" s="367">
        <f t="shared" si="25"/>
        <v>0</v>
      </c>
      <c r="X29" s="367">
        <f t="shared" si="25"/>
        <v>0</v>
      </c>
      <c r="Y29" s="367">
        <f t="shared" si="25"/>
        <v>0</v>
      </c>
      <c r="Z29" s="367">
        <f t="shared" si="25"/>
        <v>0</v>
      </c>
      <c r="AA29" s="367">
        <f t="shared" si="25"/>
        <v>0</v>
      </c>
      <c r="AB29" s="363">
        <f t="shared" si="4"/>
        <v>2500</v>
      </c>
    </row>
    <row r="30" spans="1:28" x14ac:dyDescent="0.2">
      <c r="A30" s="368" t="s">
        <v>402</v>
      </c>
      <c r="B30" s="368"/>
      <c r="C30" s="367">
        <f>$B95*C95</f>
        <v>500</v>
      </c>
      <c r="D30" s="367">
        <f t="shared" si="26"/>
        <v>500</v>
      </c>
      <c r="E30" s="367">
        <f t="shared" si="26"/>
        <v>500</v>
      </c>
      <c r="F30" s="367">
        <f t="shared" si="26"/>
        <v>500</v>
      </c>
      <c r="G30" s="367">
        <f t="shared" si="26"/>
        <v>500</v>
      </c>
      <c r="H30" s="367">
        <f t="shared" si="26"/>
        <v>500</v>
      </c>
      <c r="I30" s="367">
        <f t="shared" si="26"/>
        <v>500</v>
      </c>
      <c r="J30" s="367">
        <f t="shared" si="26"/>
        <v>500</v>
      </c>
      <c r="K30" s="367">
        <f t="shared" si="26"/>
        <v>500</v>
      </c>
      <c r="L30" s="367">
        <f t="shared" si="26"/>
        <v>500</v>
      </c>
      <c r="M30" s="367">
        <f t="shared" si="26"/>
        <v>500</v>
      </c>
      <c r="N30" s="367">
        <f t="shared" si="26"/>
        <v>500</v>
      </c>
      <c r="O30" s="363">
        <f t="shared" si="3"/>
        <v>6000</v>
      </c>
      <c r="P30" s="367">
        <f t="shared" si="26"/>
        <v>500</v>
      </c>
      <c r="Q30" s="367">
        <f t="shared" si="26"/>
        <v>500</v>
      </c>
      <c r="R30" s="367">
        <f t="shared" si="26"/>
        <v>500</v>
      </c>
      <c r="S30" s="367">
        <f t="shared" si="26"/>
        <v>500</v>
      </c>
      <c r="T30" s="367">
        <f t="shared" si="25"/>
        <v>500</v>
      </c>
      <c r="U30" s="367">
        <f t="shared" si="25"/>
        <v>500</v>
      </c>
      <c r="V30" s="367">
        <f t="shared" si="25"/>
        <v>500</v>
      </c>
      <c r="W30" s="367">
        <f t="shared" si="25"/>
        <v>500</v>
      </c>
      <c r="X30" s="367">
        <f t="shared" si="25"/>
        <v>500</v>
      </c>
      <c r="Y30" s="367">
        <f t="shared" si="25"/>
        <v>500</v>
      </c>
      <c r="Z30" s="367">
        <f t="shared" si="25"/>
        <v>500</v>
      </c>
      <c r="AA30" s="367">
        <f t="shared" si="25"/>
        <v>500</v>
      </c>
      <c r="AB30" s="363">
        <f t="shared" si="4"/>
        <v>6000</v>
      </c>
    </row>
    <row r="31" spans="1:28" x14ac:dyDescent="0.2">
      <c r="A31" s="368" t="s">
        <v>403</v>
      </c>
      <c r="B31" s="368"/>
      <c r="C31" s="367">
        <f>$B96*C96</f>
        <v>7500</v>
      </c>
      <c r="D31" s="367">
        <f t="shared" si="26"/>
        <v>0</v>
      </c>
      <c r="E31" s="367">
        <f t="shared" si="26"/>
        <v>0</v>
      </c>
      <c r="F31" s="367">
        <f t="shared" si="26"/>
        <v>0</v>
      </c>
      <c r="G31" s="367">
        <f t="shared" si="26"/>
        <v>0</v>
      </c>
      <c r="H31" s="367">
        <f t="shared" si="26"/>
        <v>0</v>
      </c>
      <c r="I31" s="367">
        <f t="shared" si="26"/>
        <v>0</v>
      </c>
      <c r="J31" s="367">
        <f t="shared" si="26"/>
        <v>0</v>
      </c>
      <c r="K31" s="367">
        <f t="shared" si="26"/>
        <v>0</v>
      </c>
      <c r="L31" s="367">
        <f t="shared" si="26"/>
        <v>0</v>
      </c>
      <c r="M31" s="367">
        <f t="shared" si="26"/>
        <v>0</v>
      </c>
      <c r="N31" s="367">
        <f t="shared" si="26"/>
        <v>0</v>
      </c>
      <c r="O31" s="363">
        <f t="shared" si="3"/>
        <v>7500</v>
      </c>
      <c r="P31" s="367">
        <f t="shared" si="26"/>
        <v>7500</v>
      </c>
      <c r="Q31" s="367">
        <f t="shared" si="26"/>
        <v>0</v>
      </c>
      <c r="R31" s="367">
        <f t="shared" si="26"/>
        <v>0</v>
      </c>
      <c r="S31" s="367">
        <f t="shared" si="26"/>
        <v>0</v>
      </c>
      <c r="T31" s="367">
        <f t="shared" si="25"/>
        <v>0</v>
      </c>
      <c r="U31" s="367">
        <f t="shared" si="25"/>
        <v>0</v>
      </c>
      <c r="V31" s="367">
        <f t="shared" si="25"/>
        <v>0</v>
      </c>
      <c r="W31" s="367">
        <f t="shared" si="25"/>
        <v>0</v>
      </c>
      <c r="X31" s="367">
        <f t="shared" si="25"/>
        <v>0</v>
      </c>
      <c r="Y31" s="367">
        <f t="shared" si="25"/>
        <v>0</v>
      </c>
      <c r="Z31" s="367">
        <f t="shared" si="25"/>
        <v>0</v>
      </c>
      <c r="AA31" s="367">
        <f t="shared" si="25"/>
        <v>0</v>
      </c>
      <c r="AB31" s="363">
        <f t="shared" si="4"/>
        <v>7500</v>
      </c>
    </row>
    <row r="32" spans="1:28" s="377" customFormat="1" x14ac:dyDescent="0.2">
      <c r="A32" s="369" t="s">
        <v>404</v>
      </c>
      <c r="B32" s="369"/>
      <c r="C32" s="370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63">
        <f t="shared" si="3"/>
        <v>0</v>
      </c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63">
        <f t="shared" si="4"/>
        <v>0</v>
      </c>
    </row>
    <row r="33" spans="1:28" x14ac:dyDescent="0.2">
      <c r="A33" s="375" t="s">
        <v>161</v>
      </c>
      <c r="B33" s="375"/>
      <c r="C33" s="378">
        <f>SUM(C34:C42)</f>
        <v>25000</v>
      </c>
      <c r="D33" s="378">
        <f t="shared" ref="D33:N33" si="27">SUM(D34:D42)</f>
        <v>0</v>
      </c>
      <c r="E33" s="378">
        <f t="shared" si="27"/>
        <v>0</v>
      </c>
      <c r="F33" s="378">
        <f t="shared" si="27"/>
        <v>27000</v>
      </c>
      <c r="G33" s="378">
        <f t="shared" si="27"/>
        <v>0</v>
      </c>
      <c r="H33" s="378">
        <f t="shared" si="27"/>
        <v>0</v>
      </c>
      <c r="I33" s="378">
        <f t="shared" si="27"/>
        <v>0</v>
      </c>
      <c r="J33" s="378">
        <f t="shared" si="27"/>
        <v>0</v>
      </c>
      <c r="K33" s="378">
        <f t="shared" si="27"/>
        <v>0</v>
      </c>
      <c r="L33" s="378">
        <f t="shared" si="27"/>
        <v>0</v>
      </c>
      <c r="M33" s="378">
        <f t="shared" si="27"/>
        <v>0</v>
      </c>
      <c r="N33" s="378">
        <f t="shared" si="27"/>
        <v>0</v>
      </c>
      <c r="O33" s="358">
        <f t="shared" si="3"/>
        <v>52000</v>
      </c>
      <c r="P33" s="378">
        <f>SUM(P34:P42)</f>
        <v>84000</v>
      </c>
      <c r="Q33" s="378">
        <f t="shared" ref="Q33:AA33" si="28">SUM(Q34:Q42)</f>
        <v>0</v>
      </c>
      <c r="R33" s="378">
        <f t="shared" si="28"/>
        <v>0</v>
      </c>
      <c r="S33" s="378">
        <f t="shared" si="28"/>
        <v>27000</v>
      </c>
      <c r="T33" s="378">
        <f t="shared" si="28"/>
        <v>0</v>
      </c>
      <c r="U33" s="378">
        <f t="shared" si="28"/>
        <v>0</v>
      </c>
      <c r="V33" s="378">
        <f t="shared" si="28"/>
        <v>0</v>
      </c>
      <c r="W33" s="378">
        <f t="shared" si="28"/>
        <v>0</v>
      </c>
      <c r="X33" s="378">
        <f t="shared" si="28"/>
        <v>0</v>
      </c>
      <c r="Y33" s="378">
        <f t="shared" si="28"/>
        <v>0</v>
      </c>
      <c r="Z33" s="378">
        <f t="shared" si="28"/>
        <v>0</v>
      </c>
      <c r="AA33" s="378">
        <f t="shared" si="28"/>
        <v>0</v>
      </c>
      <c r="AB33" s="358">
        <f t="shared" si="4"/>
        <v>111000</v>
      </c>
    </row>
    <row r="34" spans="1:28" x14ac:dyDescent="0.2">
      <c r="A34" s="368" t="s">
        <v>405</v>
      </c>
      <c r="B34" s="368"/>
      <c r="C34" s="367"/>
      <c r="D34" s="367"/>
      <c r="E34" s="367"/>
      <c r="F34" s="367"/>
      <c r="G34" s="367"/>
      <c r="H34" s="367"/>
      <c r="I34" s="367"/>
      <c r="J34" s="367"/>
      <c r="K34" s="367"/>
      <c r="L34" s="367"/>
      <c r="M34" s="367"/>
      <c r="N34" s="367"/>
      <c r="O34" s="363">
        <f t="shared" si="3"/>
        <v>0</v>
      </c>
      <c r="P34" s="367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3">
        <f t="shared" si="4"/>
        <v>0</v>
      </c>
    </row>
    <row r="35" spans="1:28" x14ac:dyDescent="0.2">
      <c r="A35" s="379" t="s">
        <v>406</v>
      </c>
      <c r="B35" s="368"/>
      <c r="C35" s="367">
        <f>$B100*C100</f>
        <v>0</v>
      </c>
      <c r="D35" s="367">
        <f t="shared" ref="D35:N39" si="29">$B100*D100</f>
        <v>0</v>
      </c>
      <c r="E35" s="367">
        <f t="shared" si="29"/>
        <v>0</v>
      </c>
      <c r="F35" s="367">
        <f t="shared" si="29"/>
        <v>15000</v>
      </c>
      <c r="G35" s="367">
        <f t="shared" si="29"/>
        <v>0</v>
      </c>
      <c r="H35" s="367">
        <f t="shared" si="29"/>
        <v>0</v>
      </c>
      <c r="I35" s="367">
        <f t="shared" si="29"/>
        <v>0</v>
      </c>
      <c r="J35" s="367">
        <f t="shared" si="29"/>
        <v>0</v>
      </c>
      <c r="K35" s="367">
        <f t="shared" si="29"/>
        <v>0</v>
      </c>
      <c r="L35" s="367">
        <f t="shared" si="29"/>
        <v>0</v>
      </c>
      <c r="M35" s="367">
        <f t="shared" si="29"/>
        <v>0</v>
      </c>
      <c r="N35" s="367">
        <f t="shared" si="29"/>
        <v>0</v>
      </c>
      <c r="O35" s="363">
        <f t="shared" si="3"/>
        <v>15000</v>
      </c>
      <c r="P35" s="367">
        <f t="shared" ref="P35:AA39" si="30">$B100*P100</f>
        <v>0</v>
      </c>
      <c r="Q35" s="367">
        <f t="shared" si="30"/>
        <v>0</v>
      </c>
      <c r="R35" s="367">
        <f t="shared" si="30"/>
        <v>0</v>
      </c>
      <c r="S35" s="367">
        <f t="shared" si="30"/>
        <v>15000</v>
      </c>
      <c r="T35" s="367">
        <f t="shared" si="30"/>
        <v>0</v>
      </c>
      <c r="U35" s="367">
        <f t="shared" si="30"/>
        <v>0</v>
      </c>
      <c r="V35" s="367">
        <f t="shared" si="30"/>
        <v>0</v>
      </c>
      <c r="W35" s="367">
        <f t="shared" si="30"/>
        <v>0</v>
      </c>
      <c r="X35" s="367">
        <f t="shared" si="30"/>
        <v>0</v>
      </c>
      <c r="Y35" s="367">
        <f t="shared" si="30"/>
        <v>0</v>
      </c>
      <c r="Z35" s="367">
        <f t="shared" si="30"/>
        <v>0</v>
      </c>
      <c r="AA35" s="367">
        <f t="shared" si="30"/>
        <v>0</v>
      </c>
      <c r="AB35" s="363">
        <f t="shared" si="4"/>
        <v>15000</v>
      </c>
    </row>
    <row r="36" spans="1:28" x14ac:dyDescent="0.2">
      <c r="A36" s="379" t="s">
        <v>407</v>
      </c>
      <c r="B36" s="368"/>
      <c r="C36" s="367">
        <f>$B101*C101</f>
        <v>0</v>
      </c>
      <c r="D36" s="367">
        <f t="shared" si="29"/>
        <v>0</v>
      </c>
      <c r="E36" s="367">
        <f t="shared" si="29"/>
        <v>0</v>
      </c>
      <c r="F36" s="367">
        <f t="shared" si="29"/>
        <v>7000</v>
      </c>
      <c r="G36" s="367">
        <f t="shared" si="29"/>
        <v>0</v>
      </c>
      <c r="H36" s="367">
        <f t="shared" si="29"/>
        <v>0</v>
      </c>
      <c r="I36" s="367">
        <f t="shared" si="29"/>
        <v>0</v>
      </c>
      <c r="J36" s="367">
        <f t="shared" si="29"/>
        <v>0</v>
      </c>
      <c r="K36" s="367">
        <f t="shared" si="29"/>
        <v>0</v>
      </c>
      <c r="L36" s="367">
        <f t="shared" si="29"/>
        <v>0</v>
      </c>
      <c r="M36" s="367">
        <f t="shared" si="29"/>
        <v>0</v>
      </c>
      <c r="N36" s="367">
        <f t="shared" si="29"/>
        <v>0</v>
      </c>
      <c r="O36" s="363">
        <f t="shared" si="3"/>
        <v>7000</v>
      </c>
      <c r="P36" s="367">
        <f t="shared" si="30"/>
        <v>0</v>
      </c>
      <c r="Q36" s="367">
        <f t="shared" si="30"/>
        <v>0</v>
      </c>
      <c r="R36" s="367">
        <f t="shared" si="30"/>
        <v>0</v>
      </c>
      <c r="S36" s="367">
        <f t="shared" si="30"/>
        <v>7000</v>
      </c>
      <c r="T36" s="367">
        <f t="shared" si="30"/>
        <v>0</v>
      </c>
      <c r="U36" s="367">
        <f t="shared" si="30"/>
        <v>0</v>
      </c>
      <c r="V36" s="367">
        <f t="shared" si="30"/>
        <v>0</v>
      </c>
      <c r="W36" s="367">
        <f t="shared" si="30"/>
        <v>0</v>
      </c>
      <c r="X36" s="367">
        <f t="shared" si="30"/>
        <v>0</v>
      </c>
      <c r="Y36" s="367">
        <f t="shared" si="30"/>
        <v>0</v>
      </c>
      <c r="Z36" s="367">
        <f t="shared" si="30"/>
        <v>0</v>
      </c>
      <c r="AA36" s="367">
        <f t="shared" si="30"/>
        <v>0</v>
      </c>
      <c r="AB36" s="363">
        <f t="shared" si="4"/>
        <v>7000</v>
      </c>
    </row>
    <row r="37" spans="1:28" x14ac:dyDescent="0.2">
      <c r="A37" s="368" t="s">
        <v>408</v>
      </c>
      <c r="B37" s="368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63">
        <f t="shared" si="3"/>
        <v>0</v>
      </c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63">
        <f t="shared" si="4"/>
        <v>0</v>
      </c>
    </row>
    <row r="38" spans="1:28" x14ac:dyDescent="0.2">
      <c r="A38" s="366" t="s">
        <v>409</v>
      </c>
      <c r="B38" s="368"/>
      <c r="C38" s="367">
        <f>$B103*C103</f>
        <v>0</v>
      </c>
      <c r="D38" s="367">
        <f t="shared" si="29"/>
        <v>0</v>
      </c>
      <c r="E38" s="367">
        <f t="shared" si="29"/>
        <v>0</v>
      </c>
      <c r="F38" s="367">
        <f t="shared" si="29"/>
        <v>3000</v>
      </c>
      <c r="G38" s="367">
        <f t="shared" si="29"/>
        <v>0</v>
      </c>
      <c r="H38" s="367">
        <f t="shared" si="29"/>
        <v>0</v>
      </c>
      <c r="I38" s="367">
        <f t="shared" si="29"/>
        <v>0</v>
      </c>
      <c r="J38" s="367">
        <f t="shared" si="29"/>
        <v>0</v>
      </c>
      <c r="K38" s="367">
        <f t="shared" si="29"/>
        <v>0</v>
      </c>
      <c r="L38" s="367">
        <f t="shared" si="29"/>
        <v>0</v>
      </c>
      <c r="M38" s="367">
        <f t="shared" si="29"/>
        <v>0</v>
      </c>
      <c r="N38" s="367">
        <f t="shared" si="29"/>
        <v>0</v>
      </c>
      <c r="O38" s="363">
        <f>SUM(C38:N38)</f>
        <v>3000</v>
      </c>
      <c r="P38" s="367">
        <f t="shared" si="30"/>
        <v>0</v>
      </c>
      <c r="Q38" s="367">
        <f t="shared" si="30"/>
        <v>0</v>
      </c>
      <c r="R38" s="367">
        <f t="shared" si="30"/>
        <v>0</v>
      </c>
      <c r="S38" s="367">
        <f t="shared" si="30"/>
        <v>3000</v>
      </c>
      <c r="T38" s="367">
        <f t="shared" si="30"/>
        <v>0</v>
      </c>
      <c r="U38" s="367">
        <f t="shared" si="30"/>
        <v>0</v>
      </c>
      <c r="V38" s="367">
        <f t="shared" si="30"/>
        <v>0</v>
      </c>
      <c r="W38" s="367">
        <f t="shared" si="30"/>
        <v>0</v>
      </c>
      <c r="X38" s="367">
        <f t="shared" si="30"/>
        <v>0</v>
      </c>
      <c r="Y38" s="367">
        <f t="shared" si="30"/>
        <v>0</v>
      </c>
      <c r="Z38" s="367">
        <f t="shared" si="30"/>
        <v>0</v>
      </c>
      <c r="AA38" s="367">
        <f t="shared" si="30"/>
        <v>0</v>
      </c>
      <c r="AB38" s="363">
        <f>SUM(P38:AA38)</f>
        <v>3000</v>
      </c>
    </row>
    <row r="39" spans="1:28" x14ac:dyDescent="0.2">
      <c r="A39" s="366" t="s">
        <v>410</v>
      </c>
      <c r="B39" s="366"/>
      <c r="C39" s="367">
        <f>$B104*C104</f>
        <v>0</v>
      </c>
      <c r="D39" s="367">
        <f t="shared" si="29"/>
        <v>0</v>
      </c>
      <c r="E39" s="367">
        <f t="shared" si="29"/>
        <v>0</v>
      </c>
      <c r="F39" s="367">
        <f t="shared" si="29"/>
        <v>1000</v>
      </c>
      <c r="G39" s="367">
        <f t="shared" si="29"/>
        <v>0</v>
      </c>
      <c r="H39" s="367">
        <f t="shared" si="29"/>
        <v>0</v>
      </c>
      <c r="I39" s="367">
        <f t="shared" si="29"/>
        <v>0</v>
      </c>
      <c r="J39" s="367">
        <f t="shared" si="29"/>
        <v>0</v>
      </c>
      <c r="K39" s="367">
        <f t="shared" si="29"/>
        <v>0</v>
      </c>
      <c r="L39" s="367">
        <f t="shared" si="29"/>
        <v>0</v>
      </c>
      <c r="M39" s="367">
        <f t="shared" si="29"/>
        <v>0</v>
      </c>
      <c r="N39" s="367">
        <f t="shared" si="29"/>
        <v>0</v>
      </c>
      <c r="O39" s="363">
        <f>SUM(C39:N39)</f>
        <v>1000</v>
      </c>
      <c r="P39" s="367">
        <f t="shared" si="30"/>
        <v>0</v>
      </c>
      <c r="Q39" s="367">
        <f t="shared" si="30"/>
        <v>0</v>
      </c>
      <c r="R39" s="367">
        <f t="shared" si="30"/>
        <v>0</v>
      </c>
      <c r="S39" s="367">
        <f t="shared" si="30"/>
        <v>1000</v>
      </c>
      <c r="T39" s="367">
        <f t="shared" si="30"/>
        <v>0</v>
      </c>
      <c r="U39" s="367">
        <f t="shared" si="30"/>
        <v>0</v>
      </c>
      <c r="V39" s="367">
        <f t="shared" si="30"/>
        <v>0</v>
      </c>
      <c r="W39" s="367">
        <f t="shared" si="30"/>
        <v>0</v>
      </c>
      <c r="X39" s="367">
        <f t="shared" si="30"/>
        <v>0</v>
      </c>
      <c r="Y39" s="367">
        <f t="shared" si="30"/>
        <v>0</v>
      </c>
      <c r="Z39" s="367">
        <f t="shared" si="30"/>
        <v>0</v>
      </c>
      <c r="AA39" s="367">
        <f t="shared" si="30"/>
        <v>0</v>
      </c>
      <c r="AB39" s="363">
        <f>SUM(P39:AA39)</f>
        <v>1000</v>
      </c>
    </row>
    <row r="40" spans="1:28" x14ac:dyDescent="0.2">
      <c r="A40" s="368" t="s">
        <v>411</v>
      </c>
      <c r="B40" s="366"/>
      <c r="C40" s="380"/>
      <c r="D40" s="380"/>
      <c r="E40" s="380"/>
      <c r="F40" s="380"/>
      <c r="G40" s="380"/>
      <c r="H40" s="380"/>
      <c r="I40" s="380"/>
      <c r="J40" s="380"/>
      <c r="K40" s="380"/>
      <c r="L40" s="380"/>
      <c r="M40" s="380"/>
      <c r="N40" s="380"/>
      <c r="O40" s="363">
        <f t="shared" si="3"/>
        <v>0</v>
      </c>
      <c r="P40" s="380"/>
      <c r="Q40" s="380"/>
      <c r="R40" s="380"/>
      <c r="S40" s="380"/>
      <c r="T40" s="380"/>
      <c r="U40" s="380"/>
      <c r="V40" s="380"/>
      <c r="W40" s="380"/>
      <c r="X40" s="380"/>
      <c r="Y40" s="380"/>
      <c r="Z40" s="380"/>
      <c r="AA40" s="380"/>
      <c r="AB40" s="363">
        <f t="shared" si="4"/>
        <v>0</v>
      </c>
    </row>
    <row r="41" spans="1:28" x14ac:dyDescent="0.2">
      <c r="A41" s="366" t="s">
        <v>444</v>
      </c>
      <c r="B41" s="381"/>
      <c r="C41" s="367">
        <f>ROUNDUP($B106*Revenue!B36,-2)</f>
        <v>25000</v>
      </c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3">
        <f t="shared" si="3"/>
        <v>25000</v>
      </c>
      <c r="P41" s="367">
        <f>ROUNDUP($B106*Revenue!C36,-2)</f>
        <v>84000</v>
      </c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3">
        <f t="shared" si="4"/>
        <v>84000</v>
      </c>
    </row>
    <row r="42" spans="1:28" x14ac:dyDescent="0.2">
      <c r="A42" s="366" t="s">
        <v>412</v>
      </c>
      <c r="B42" s="381"/>
      <c r="C42" s="367">
        <f>$B107*C107</f>
        <v>0</v>
      </c>
      <c r="D42" s="367">
        <f t="shared" ref="D42:N42" si="31">$B107*D107</f>
        <v>0</v>
      </c>
      <c r="E42" s="367">
        <f t="shared" si="31"/>
        <v>0</v>
      </c>
      <c r="F42" s="367">
        <f t="shared" si="31"/>
        <v>1000</v>
      </c>
      <c r="G42" s="367">
        <f t="shared" si="31"/>
        <v>0</v>
      </c>
      <c r="H42" s="367">
        <f t="shared" si="31"/>
        <v>0</v>
      </c>
      <c r="I42" s="367">
        <f t="shared" si="31"/>
        <v>0</v>
      </c>
      <c r="J42" s="367">
        <f t="shared" si="31"/>
        <v>0</v>
      </c>
      <c r="K42" s="367">
        <f t="shared" si="31"/>
        <v>0</v>
      </c>
      <c r="L42" s="367">
        <f t="shared" si="31"/>
        <v>0</v>
      </c>
      <c r="M42" s="367">
        <f t="shared" si="31"/>
        <v>0</v>
      </c>
      <c r="N42" s="367">
        <f t="shared" si="31"/>
        <v>0</v>
      </c>
      <c r="O42" s="363">
        <f>SUM(C42:N42)</f>
        <v>1000</v>
      </c>
      <c r="P42" s="367">
        <f t="shared" ref="P42:AA42" si="32">$B107*P107</f>
        <v>0</v>
      </c>
      <c r="Q42" s="367">
        <f t="shared" si="32"/>
        <v>0</v>
      </c>
      <c r="R42" s="367">
        <f t="shared" si="32"/>
        <v>0</v>
      </c>
      <c r="S42" s="367">
        <f t="shared" si="32"/>
        <v>1000</v>
      </c>
      <c r="T42" s="367">
        <f t="shared" si="32"/>
        <v>0</v>
      </c>
      <c r="U42" s="367">
        <f t="shared" si="32"/>
        <v>0</v>
      </c>
      <c r="V42" s="367">
        <f t="shared" si="32"/>
        <v>0</v>
      </c>
      <c r="W42" s="367">
        <f t="shared" si="32"/>
        <v>0</v>
      </c>
      <c r="X42" s="367">
        <f t="shared" si="32"/>
        <v>0</v>
      </c>
      <c r="Y42" s="367">
        <f t="shared" si="32"/>
        <v>0</v>
      </c>
      <c r="Z42" s="367">
        <f t="shared" si="32"/>
        <v>0</v>
      </c>
      <c r="AA42" s="367">
        <f t="shared" si="32"/>
        <v>0</v>
      </c>
      <c r="AB42" s="363">
        <f>SUM(P42:AA42)</f>
        <v>1000</v>
      </c>
    </row>
    <row r="43" spans="1:28" s="383" customFormat="1" x14ac:dyDescent="0.2">
      <c r="A43" s="375" t="s">
        <v>162</v>
      </c>
      <c r="B43" s="375"/>
      <c r="C43" s="382">
        <f>$B108*C108</f>
        <v>0</v>
      </c>
      <c r="D43" s="382">
        <f t="shared" ref="D43:AA43" si="33">$B108*D108</f>
        <v>80000</v>
      </c>
      <c r="E43" s="382">
        <f t="shared" si="33"/>
        <v>0</v>
      </c>
      <c r="F43" s="382">
        <f t="shared" si="33"/>
        <v>0</v>
      </c>
      <c r="G43" s="382">
        <f t="shared" si="33"/>
        <v>0</v>
      </c>
      <c r="H43" s="382">
        <f t="shared" si="33"/>
        <v>0</v>
      </c>
      <c r="I43" s="382">
        <f t="shared" si="33"/>
        <v>0</v>
      </c>
      <c r="J43" s="382">
        <f t="shared" si="33"/>
        <v>0</v>
      </c>
      <c r="K43" s="382">
        <f t="shared" si="33"/>
        <v>0</v>
      </c>
      <c r="L43" s="382">
        <f t="shared" si="33"/>
        <v>0</v>
      </c>
      <c r="M43" s="382">
        <f t="shared" si="33"/>
        <v>0</v>
      </c>
      <c r="N43" s="382">
        <f t="shared" si="33"/>
        <v>0</v>
      </c>
      <c r="O43" s="358">
        <f t="shared" si="3"/>
        <v>80000</v>
      </c>
      <c r="P43" s="382">
        <f t="shared" si="33"/>
        <v>0</v>
      </c>
      <c r="Q43" s="382">
        <f t="shared" si="33"/>
        <v>80000</v>
      </c>
      <c r="R43" s="382">
        <f t="shared" si="33"/>
        <v>0</v>
      </c>
      <c r="S43" s="382">
        <f t="shared" si="33"/>
        <v>0</v>
      </c>
      <c r="T43" s="382">
        <f t="shared" si="33"/>
        <v>0</v>
      </c>
      <c r="U43" s="382">
        <f t="shared" si="33"/>
        <v>0</v>
      </c>
      <c r="V43" s="382">
        <f t="shared" si="33"/>
        <v>0</v>
      </c>
      <c r="W43" s="382">
        <f t="shared" si="33"/>
        <v>0</v>
      </c>
      <c r="X43" s="382">
        <f t="shared" si="33"/>
        <v>0</v>
      </c>
      <c r="Y43" s="382">
        <f t="shared" si="33"/>
        <v>0</v>
      </c>
      <c r="Z43" s="382">
        <f t="shared" si="33"/>
        <v>0</v>
      </c>
      <c r="AA43" s="382">
        <f t="shared" si="33"/>
        <v>0</v>
      </c>
      <c r="AB43" s="358">
        <f t="shared" si="4"/>
        <v>80000</v>
      </c>
    </row>
    <row r="44" spans="1:28" x14ac:dyDescent="0.2">
      <c r="A44" s="375" t="s">
        <v>171</v>
      </c>
      <c r="B44" s="368"/>
      <c r="C44" s="376">
        <f>SUM(C45:C56)</f>
        <v>32560</v>
      </c>
      <c r="D44" s="376">
        <f>SUM(D45:D56)</f>
        <v>7200</v>
      </c>
      <c r="E44" s="376">
        <f>SUM(E45:E56)</f>
        <v>7200</v>
      </c>
      <c r="F44" s="376">
        <f>SUM(F45:F56)</f>
        <v>7200</v>
      </c>
      <c r="G44" s="376">
        <f>SUM(G45:G56)</f>
        <v>7200</v>
      </c>
      <c r="H44" s="376">
        <f t="shared" ref="H44:AA44" si="34">SUM(H45:H56)</f>
        <v>7200</v>
      </c>
      <c r="I44" s="376">
        <f t="shared" si="34"/>
        <v>7200</v>
      </c>
      <c r="J44" s="376">
        <f t="shared" si="34"/>
        <v>7200</v>
      </c>
      <c r="K44" s="376">
        <f t="shared" si="34"/>
        <v>7200</v>
      </c>
      <c r="L44" s="376">
        <f t="shared" si="34"/>
        <v>7200</v>
      </c>
      <c r="M44" s="376">
        <f t="shared" si="34"/>
        <v>7200</v>
      </c>
      <c r="N44" s="376">
        <f t="shared" si="34"/>
        <v>7200</v>
      </c>
      <c r="O44" s="358">
        <f t="shared" si="3"/>
        <v>111760</v>
      </c>
      <c r="P44" s="376">
        <f t="shared" si="34"/>
        <v>7500</v>
      </c>
      <c r="Q44" s="376">
        <f t="shared" si="34"/>
        <v>7500</v>
      </c>
      <c r="R44" s="376">
        <f t="shared" si="34"/>
        <v>7500</v>
      </c>
      <c r="S44" s="376">
        <f t="shared" si="34"/>
        <v>7500</v>
      </c>
      <c r="T44" s="376">
        <f t="shared" si="34"/>
        <v>7500</v>
      </c>
      <c r="U44" s="376">
        <f t="shared" si="34"/>
        <v>7500</v>
      </c>
      <c r="V44" s="376">
        <f t="shared" si="34"/>
        <v>7500</v>
      </c>
      <c r="W44" s="376">
        <f t="shared" si="34"/>
        <v>7500</v>
      </c>
      <c r="X44" s="376">
        <f t="shared" si="34"/>
        <v>7500</v>
      </c>
      <c r="Y44" s="376">
        <f t="shared" si="34"/>
        <v>7500</v>
      </c>
      <c r="Z44" s="376">
        <f t="shared" si="34"/>
        <v>7500</v>
      </c>
      <c r="AA44" s="376">
        <f t="shared" si="34"/>
        <v>7500</v>
      </c>
      <c r="AB44" s="358">
        <f t="shared" si="4"/>
        <v>90000</v>
      </c>
    </row>
    <row r="45" spans="1:28" x14ac:dyDescent="0.2">
      <c r="A45" s="366" t="s">
        <v>413</v>
      </c>
      <c r="B45" s="366"/>
      <c r="C45" s="367">
        <f>$B110*C110</f>
        <v>1000</v>
      </c>
      <c r="D45" s="367">
        <f t="shared" ref="D45:AA45" si="35">$B110*D110</f>
        <v>1000</v>
      </c>
      <c r="E45" s="367">
        <f t="shared" si="35"/>
        <v>1000</v>
      </c>
      <c r="F45" s="367">
        <f t="shared" si="35"/>
        <v>1000</v>
      </c>
      <c r="G45" s="367">
        <f t="shared" si="35"/>
        <v>1000</v>
      </c>
      <c r="H45" s="367">
        <f t="shared" si="35"/>
        <v>1000</v>
      </c>
      <c r="I45" s="367">
        <f t="shared" si="35"/>
        <v>1000</v>
      </c>
      <c r="J45" s="367">
        <f t="shared" si="35"/>
        <v>1000</v>
      </c>
      <c r="K45" s="367">
        <f t="shared" si="35"/>
        <v>1000</v>
      </c>
      <c r="L45" s="367">
        <f t="shared" si="35"/>
        <v>1000</v>
      </c>
      <c r="M45" s="367">
        <f t="shared" si="35"/>
        <v>1000</v>
      </c>
      <c r="N45" s="367">
        <f t="shared" si="35"/>
        <v>1000</v>
      </c>
      <c r="O45" s="363">
        <f t="shared" si="3"/>
        <v>12000</v>
      </c>
      <c r="P45" s="367">
        <f t="shared" si="35"/>
        <v>1000</v>
      </c>
      <c r="Q45" s="367">
        <f t="shared" si="35"/>
        <v>1000</v>
      </c>
      <c r="R45" s="367">
        <f t="shared" si="35"/>
        <v>1000</v>
      </c>
      <c r="S45" s="367">
        <f t="shared" si="35"/>
        <v>1000</v>
      </c>
      <c r="T45" s="367">
        <f t="shared" si="35"/>
        <v>1000</v>
      </c>
      <c r="U45" s="367">
        <f t="shared" si="35"/>
        <v>1000</v>
      </c>
      <c r="V45" s="367">
        <f t="shared" si="35"/>
        <v>1000</v>
      </c>
      <c r="W45" s="367">
        <f t="shared" si="35"/>
        <v>1000</v>
      </c>
      <c r="X45" s="367">
        <f t="shared" si="35"/>
        <v>1000</v>
      </c>
      <c r="Y45" s="367">
        <f t="shared" si="35"/>
        <v>1000</v>
      </c>
      <c r="Z45" s="367">
        <f t="shared" si="35"/>
        <v>1000</v>
      </c>
      <c r="AA45" s="367">
        <f t="shared" si="35"/>
        <v>1000</v>
      </c>
      <c r="AB45" s="363">
        <f t="shared" si="4"/>
        <v>12000</v>
      </c>
    </row>
    <row r="46" spans="1:28" s="377" customFormat="1" x14ac:dyDescent="0.2">
      <c r="A46" s="372" t="s">
        <v>414</v>
      </c>
      <c r="B46" s="372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63">
        <f t="shared" si="3"/>
        <v>0</v>
      </c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63">
        <f t="shared" si="4"/>
        <v>0</v>
      </c>
    </row>
    <row r="47" spans="1:28" x14ac:dyDescent="0.2">
      <c r="A47" s="366" t="s">
        <v>415</v>
      </c>
      <c r="B47" s="366"/>
      <c r="C47" s="367">
        <f>$B112*C112</f>
        <v>3500</v>
      </c>
      <c r="D47" s="367">
        <f t="shared" ref="D47:N47" si="36">$B112*D112</f>
        <v>3500</v>
      </c>
      <c r="E47" s="367">
        <f t="shared" si="36"/>
        <v>3500</v>
      </c>
      <c r="F47" s="367">
        <f t="shared" si="36"/>
        <v>3500</v>
      </c>
      <c r="G47" s="367">
        <f t="shared" si="36"/>
        <v>3500</v>
      </c>
      <c r="H47" s="367">
        <f t="shared" si="36"/>
        <v>3500</v>
      </c>
      <c r="I47" s="367">
        <f t="shared" si="36"/>
        <v>3500</v>
      </c>
      <c r="J47" s="367">
        <f t="shared" si="36"/>
        <v>3500</v>
      </c>
      <c r="K47" s="367">
        <f t="shared" si="36"/>
        <v>3500</v>
      </c>
      <c r="L47" s="367">
        <f t="shared" si="36"/>
        <v>3500</v>
      </c>
      <c r="M47" s="367">
        <f t="shared" si="36"/>
        <v>3500</v>
      </c>
      <c r="N47" s="367">
        <f t="shared" si="36"/>
        <v>3500</v>
      </c>
      <c r="O47" s="363">
        <f t="shared" si="3"/>
        <v>42000</v>
      </c>
      <c r="P47" s="367">
        <f t="shared" ref="P47:AA47" si="37">$B112*P112</f>
        <v>3500</v>
      </c>
      <c r="Q47" s="367">
        <f t="shared" si="37"/>
        <v>3500</v>
      </c>
      <c r="R47" s="367">
        <f t="shared" si="37"/>
        <v>3500</v>
      </c>
      <c r="S47" s="367">
        <f t="shared" si="37"/>
        <v>3500</v>
      </c>
      <c r="T47" s="367">
        <f t="shared" si="37"/>
        <v>3500</v>
      </c>
      <c r="U47" s="367">
        <f t="shared" si="37"/>
        <v>3500</v>
      </c>
      <c r="V47" s="367">
        <f t="shared" si="37"/>
        <v>3500</v>
      </c>
      <c r="W47" s="367">
        <f t="shared" si="37"/>
        <v>3500</v>
      </c>
      <c r="X47" s="367">
        <f t="shared" si="37"/>
        <v>3500</v>
      </c>
      <c r="Y47" s="367">
        <f t="shared" si="37"/>
        <v>3500</v>
      </c>
      <c r="Z47" s="367">
        <f t="shared" si="37"/>
        <v>3500</v>
      </c>
      <c r="AA47" s="367">
        <f t="shared" si="37"/>
        <v>3500</v>
      </c>
      <c r="AB47" s="363">
        <f t="shared" si="4"/>
        <v>42000</v>
      </c>
    </row>
    <row r="48" spans="1:28" s="377" customFormat="1" x14ac:dyDescent="0.2">
      <c r="A48" s="372" t="s">
        <v>416</v>
      </c>
      <c r="B48" s="372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63">
        <f t="shared" si="3"/>
        <v>0</v>
      </c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0"/>
      <c r="AA48" s="370"/>
      <c r="AB48" s="363">
        <f t="shared" si="4"/>
        <v>0</v>
      </c>
    </row>
    <row r="49" spans="1:28" s="377" customFormat="1" x14ac:dyDescent="0.2">
      <c r="A49" s="372" t="s">
        <v>417</v>
      </c>
      <c r="B49" s="372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63">
        <f t="shared" si="3"/>
        <v>0</v>
      </c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63">
        <f t="shared" si="4"/>
        <v>0</v>
      </c>
    </row>
    <row r="50" spans="1:28" x14ac:dyDescent="0.2">
      <c r="A50" s="366" t="s">
        <v>418</v>
      </c>
      <c r="B50" s="366"/>
      <c r="C50" s="367">
        <f>$B115*C115</f>
        <v>200</v>
      </c>
      <c r="D50" s="367">
        <f t="shared" ref="D50:N56" si="38">$B115*D115</f>
        <v>200</v>
      </c>
      <c r="E50" s="367">
        <f t="shared" si="38"/>
        <v>200</v>
      </c>
      <c r="F50" s="367">
        <f t="shared" si="38"/>
        <v>200</v>
      </c>
      <c r="G50" s="367">
        <f t="shared" si="38"/>
        <v>200</v>
      </c>
      <c r="H50" s="367">
        <f t="shared" si="38"/>
        <v>200</v>
      </c>
      <c r="I50" s="367">
        <f t="shared" si="38"/>
        <v>200</v>
      </c>
      <c r="J50" s="367">
        <f t="shared" si="38"/>
        <v>200</v>
      </c>
      <c r="K50" s="367">
        <f t="shared" si="38"/>
        <v>200</v>
      </c>
      <c r="L50" s="367">
        <f t="shared" si="38"/>
        <v>200</v>
      </c>
      <c r="M50" s="367">
        <f t="shared" si="38"/>
        <v>200</v>
      </c>
      <c r="N50" s="367">
        <f t="shared" si="38"/>
        <v>200</v>
      </c>
      <c r="O50" s="363">
        <f t="shared" si="3"/>
        <v>2400</v>
      </c>
      <c r="P50" s="367">
        <f t="shared" ref="P50:AA56" si="39">$B115*P115</f>
        <v>200</v>
      </c>
      <c r="Q50" s="367">
        <f t="shared" si="39"/>
        <v>200</v>
      </c>
      <c r="R50" s="367">
        <f t="shared" si="39"/>
        <v>200</v>
      </c>
      <c r="S50" s="367">
        <f t="shared" si="39"/>
        <v>200</v>
      </c>
      <c r="T50" s="367">
        <f t="shared" si="39"/>
        <v>200</v>
      </c>
      <c r="U50" s="367">
        <f t="shared" si="39"/>
        <v>200</v>
      </c>
      <c r="V50" s="367">
        <f t="shared" si="39"/>
        <v>200</v>
      </c>
      <c r="W50" s="367">
        <f t="shared" si="39"/>
        <v>200</v>
      </c>
      <c r="X50" s="367">
        <f t="shared" si="39"/>
        <v>200</v>
      </c>
      <c r="Y50" s="367">
        <f t="shared" si="39"/>
        <v>200</v>
      </c>
      <c r="Z50" s="367">
        <f t="shared" si="39"/>
        <v>200</v>
      </c>
      <c r="AA50" s="367">
        <f t="shared" si="39"/>
        <v>200</v>
      </c>
      <c r="AB50" s="363">
        <f t="shared" si="4"/>
        <v>2400</v>
      </c>
    </row>
    <row r="51" spans="1:28" x14ac:dyDescent="0.2">
      <c r="A51" s="366" t="s">
        <v>419</v>
      </c>
      <c r="B51" s="366"/>
      <c r="C51" s="367">
        <f t="shared" ref="C51:C56" si="40">$B116*C116</f>
        <v>200</v>
      </c>
      <c r="D51" s="367">
        <f t="shared" si="38"/>
        <v>200</v>
      </c>
      <c r="E51" s="367">
        <f t="shared" si="38"/>
        <v>200</v>
      </c>
      <c r="F51" s="367">
        <f t="shared" si="38"/>
        <v>200</v>
      </c>
      <c r="G51" s="367">
        <f t="shared" si="38"/>
        <v>200</v>
      </c>
      <c r="H51" s="367">
        <f t="shared" si="38"/>
        <v>200</v>
      </c>
      <c r="I51" s="367">
        <f t="shared" si="38"/>
        <v>200</v>
      </c>
      <c r="J51" s="367">
        <f t="shared" si="38"/>
        <v>200</v>
      </c>
      <c r="K51" s="367">
        <f t="shared" si="38"/>
        <v>200</v>
      </c>
      <c r="L51" s="367">
        <f t="shared" si="38"/>
        <v>200</v>
      </c>
      <c r="M51" s="367">
        <f t="shared" si="38"/>
        <v>200</v>
      </c>
      <c r="N51" s="367">
        <f t="shared" si="38"/>
        <v>200</v>
      </c>
      <c r="O51" s="363">
        <f t="shared" si="3"/>
        <v>2400</v>
      </c>
      <c r="P51" s="367">
        <f t="shared" si="39"/>
        <v>200</v>
      </c>
      <c r="Q51" s="367">
        <f t="shared" si="39"/>
        <v>200</v>
      </c>
      <c r="R51" s="367">
        <f t="shared" si="39"/>
        <v>200</v>
      </c>
      <c r="S51" s="367">
        <f t="shared" si="39"/>
        <v>200</v>
      </c>
      <c r="T51" s="367">
        <f t="shared" si="39"/>
        <v>200</v>
      </c>
      <c r="U51" s="367">
        <f t="shared" si="39"/>
        <v>200</v>
      </c>
      <c r="V51" s="367">
        <f t="shared" si="39"/>
        <v>200</v>
      </c>
      <c r="W51" s="367">
        <f t="shared" si="39"/>
        <v>200</v>
      </c>
      <c r="X51" s="367">
        <f t="shared" si="39"/>
        <v>200</v>
      </c>
      <c r="Y51" s="367">
        <f t="shared" si="39"/>
        <v>200</v>
      </c>
      <c r="Z51" s="367">
        <f t="shared" si="39"/>
        <v>200</v>
      </c>
      <c r="AA51" s="367">
        <f t="shared" si="39"/>
        <v>200</v>
      </c>
      <c r="AB51" s="363">
        <f t="shared" si="4"/>
        <v>2400</v>
      </c>
    </row>
    <row r="52" spans="1:28" x14ac:dyDescent="0.2">
      <c r="A52" s="366" t="s">
        <v>420</v>
      </c>
      <c r="B52" s="366"/>
      <c r="C52" s="367">
        <f t="shared" si="40"/>
        <v>1000</v>
      </c>
      <c r="D52" s="367">
        <f t="shared" si="38"/>
        <v>1000</v>
      </c>
      <c r="E52" s="367">
        <f t="shared" si="38"/>
        <v>1000</v>
      </c>
      <c r="F52" s="367">
        <f t="shared" si="38"/>
        <v>1000</v>
      </c>
      <c r="G52" s="367">
        <f t="shared" si="38"/>
        <v>1000</v>
      </c>
      <c r="H52" s="367">
        <f t="shared" si="38"/>
        <v>1000</v>
      </c>
      <c r="I52" s="367">
        <f t="shared" si="38"/>
        <v>1000</v>
      </c>
      <c r="J52" s="367">
        <f t="shared" si="38"/>
        <v>1000</v>
      </c>
      <c r="K52" s="367">
        <f t="shared" si="38"/>
        <v>1000</v>
      </c>
      <c r="L52" s="367">
        <f t="shared" si="38"/>
        <v>1000</v>
      </c>
      <c r="M52" s="367">
        <f t="shared" si="38"/>
        <v>1000</v>
      </c>
      <c r="N52" s="367">
        <f t="shared" si="38"/>
        <v>1000</v>
      </c>
      <c r="O52" s="363">
        <f t="shared" si="3"/>
        <v>12000</v>
      </c>
      <c r="P52" s="367">
        <f t="shared" si="39"/>
        <v>1000</v>
      </c>
      <c r="Q52" s="367">
        <f t="shared" si="39"/>
        <v>1000</v>
      </c>
      <c r="R52" s="367">
        <f t="shared" si="39"/>
        <v>1000</v>
      </c>
      <c r="S52" s="367">
        <f t="shared" si="39"/>
        <v>1000</v>
      </c>
      <c r="T52" s="367">
        <f t="shared" si="39"/>
        <v>1000</v>
      </c>
      <c r="U52" s="367">
        <f t="shared" si="39"/>
        <v>1000</v>
      </c>
      <c r="V52" s="367">
        <f t="shared" si="39"/>
        <v>1000</v>
      </c>
      <c r="W52" s="367">
        <f t="shared" si="39"/>
        <v>1000</v>
      </c>
      <c r="X52" s="367">
        <f t="shared" si="39"/>
        <v>1000</v>
      </c>
      <c r="Y52" s="367">
        <f t="shared" si="39"/>
        <v>1000</v>
      </c>
      <c r="Z52" s="367">
        <f t="shared" si="39"/>
        <v>1000</v>
      </c>
      <c r="AA52" s="367">
        <f t="shared" si="39"/>
        <v>1000</v>
      </c>
      <c r="AB52" s="363">
        <f t="shared" si="4"/>
        <v>12000</v>
      </c>
    </row>
    <row r="53" spans="1:28" x14ac:dyDescent="0.2">
      <c r="A53" s="366" t="s">
        <v>421</v>
      </c>
      <c r="B53" s="366"/>
      <c r="C53" s="367">
        <f t="shared" si="40"/>
        <v>1200</v>
      </c>
      <c r="D53" s="367">
        <f t="shared" si="38"/>
        <v>1200</v>
      </c>
      <c r="E53" s="367">
        <f t="shared" si="38"/>
        <v>1200</v>
      </c>
      <c r="F53" s="367">
        <f t="shared" si="38"/>
        <v>1200</v>
      </c>
      <c r="G53" s="367">
        <f t="shared" si="38"/>
        <v>1200</v>
      </c>
      <c r="H53" s="367">
        <f t="shared" si="38"/>
        <v>1200</v>
      </c>
      <c r="I53" s="367">
        <f t="shared" si="38"/>
        <v>1200</v>
      </c>
      <c r="J53" s="367">
        <f t="shared" si="38"/>
        <v>1200</v>
      </c>
      <c r="K53" s="367">
        <f t="shared" si="38"/>
        <v>1200</v>
      </c>
      <c r="L53" s="367">
        <f t="shared" si="38"/>
        <v>1200</v>
      </c>
      <c r="M53" s="367">
        <f t="shared" si="38"/>
        <v>1200</v>
      </c>
      <c r="N53" s="367">
        <f t="shared" si="38"/>
        <v>1200</v>
      </c>
      <c r="O53" s="363">
        <f t="shared" si="3"/>
        <v>14400</v>
      </c>
      <c r="P53" s="367">
        <f t="shared" si="39"/>
        <v>1500</v>
      </c>
      <c r="Q53" s="367">
        <f t="shared" si="39"/>
        <v>1500</v>
      </c>
      <c r="R53" s="367">
        <f t="shared" si="39"/>
        <v>1500</v>
      </c>
      <c r="S53" s="367">
        <f t="shared" si="39"/>
        <v>1500</v>
      </c>
      <c r="T53" s="367">
        <f t="shared" si="39"/>
        <v>1500</v>
      </c>
      <c r="U53" s="367">
        <f t="shared" si="39"/>
        <v>1500</v>
      </c>
      <c r="V53" s="367">
        <f t="shared" si="39"/>
        <v>1500</v>
      </c>
      <c r="W53" s="367">
        <f t="shared" si="39"/>
        <v>1500</v>
      </c>
      <c r="X53" s="367">
        <f t="shared" si="39"/>
        <v>1500</v>
      </c>
      <c r="Y53" s="367">
        <f t="shared" si="39"/>
        <v>1500</v>
      </c>
      <c r="Z53" s="367">
        <f t="shared" si="39"/>
        <v>1500</v>
      </c>
      <c r="AA53" s="367">
        <f t="shared" si="39"/>
        <v>1500</v>
      </c>
      <c r="AB53" s="363">
        <f t="shared" si="4"/>
        <v>18000</v>
      </c>
    </row>
    <row r="54" spans="1:28" x14ac:dyDescent="0.2">
      <c r="A54" s="366" t="s">
        <v>422</v>
      </c>
      <c r="B54" s="366"/>
      <c r="C54" s="367">
        <f t="shared" si="40"/>
        <v>12680</v>
      </c>
      <c r="D54" s="367">
        <f t="shared" si="38"/>
        <v>0</v>
      </c>
      <c r="E54" s="367">
        <f t="shared" si="38"/>
        <v>0</v>
      </c>
      <c r="F54" s="367">
        <f t="shared" si="38"/>
        <v>0</v>
      </c>
      <c r="G54" s="367">
        <f t="shared" si="38"/>
        <v>0</v>
      </c>
      <c r="H54" s="367">
        <f t="shared" si="38"/>
        <v>0</v>
      </c>
      <c r="I54" s="367">
        <f t="shared" si="38"/>
        <v>0</v>
      </c>
      <c r="J54" s="367">
        <f t="shared" si="38"/>
        <v>0</v>
      </c>
      <c r="K54" s="367">
        <f t="shared" si="38"/>
        <v>0</v>
      </c>
      <c r="L54" s="367">
        <f t="shared" si="38"/>
        <v>0</v>
      </c>
      <c r="M54" s="367">
        <f t="shared" si="38"/>
        <v>0</v>
      </c>
      <c r="N54" s="367">
        <f t="shared" si="38"/>
        <v>0</v>
      </c>
      <c r="O54" s="363">
        <f t="shared" si="3"/>
        <v>12680</v>
      </c>
      <c r="P54" s="367">
        <f t="shared" si="39"/>
        <v>0</v>
      </c>
      <c r="Q54" s="367">
        <f t="shared" si="39"/>
        <v>0</v>
      </c>
      <c r="R54" s="367">
        <f t="shared" si="39"/>
        <v>0</v>
      </c>
      <c r="S54" s="367">
        <f t="shared" si="39"/>
        <v>0</v>
      </c>
      <c r="T54" s="367">
        <f t="shared" si="39"/>
        <v>0</v>
      </c>
      <c r="U54" s="367">
        <f t="shared" si="39"/>
        <v>0</v>
      </c>
      <c r="V54" s="367">
        <f t="shared" si="39"/>
        <v>0</v>
      </c>
      <c r="W54" s="367">
        <f t="shared" si="39"/>
        <v>0</v>
      </c>
      <c r="X54" s="367">
        <f t="shared" si="39"/>
        <v>0</v>
      </c>
      <c r="Y54" s="367">
        <f t="shared" si="39"/>
        <v>0</v>
      </c>
      <c r="Z54" s="367">
        <f t="shared" si="39"/>
        <v>0</v>
      </c>
      <c r="AA54" s="367">
        <f t="shared" si="39"/>
        <v>0</v>
      </c>
      <c r="AB54" s="363">
        <f t="shared" si="4"/>
        <v>0</v>
      </c>
    </row>
    <row r="55" spans="1:28" x14ac:dyDescent="0.2">
      <c r="A55" s="366" t="s">
        <v>423</v>
      </c>
      <c r="B55" s="366"/>
      <c r="C55" s="367">
        <f t="shared" si="40"/>
        <v>12680</v>
      </c>
      <c r="D55" s="367">
        <f t="shared" si="38"/>
        <v>0</v>
      </c>
      <c r="E55" s="367">
        <f t="shared" si="38"/>
        <v>0</v>
      </c>
      <c r="F55" s="367">
        <f t="shared" si="38"/>
        <v>0</v>
      </c>
      <c r="G55" s="367">
        <f t="shared" si="38"/>
        <v>0</v>
      </c>
      <c r="H55" s="367">
        <f t="shared" si="38"/>
        <v>0</v>
      </c>
      <c r="I55" s="367">
        <f t="shared" si="38"/>
        <v>0</v>
      </c>
      <c r="J55" s="367">
        <f t="shared" si="38"/>
        <v>0</v>
      </c>
      <c r="K55" s="367">
        <f t="shared" si="38"/>
        <v>0</v>
      </c>
      <c r="L55" s="367">
        <f t="shared" si="38"/>
        <v>0</v>
      </c>
      <c r="M55" s="367">
        <f t="shared" si="38"/>
        <v>0</v>
      </c>
      <c r="N55" s="367">
        <f t="shared" si="38"/>
        <v>0</v>
      </c>
      <c r="O55" s="363">
        <f t="shared" si="3"/>
        <v>12680</v>
      </c>
      <c r="P55" s="367">
        <f t="shared" si="39"/>
        <v>0</v>
      </c>
      <c r="Q55" s="367">
        <f t="shared" si="39"/>
        <v>0</v>
      </c>
      <c r="R55" s="367">
        <f t="shared" si="39"/>
        <v>0</v>
      </c>
      <c r="S55" s="367">
        <f t="shared" si="39"/>
        <v>0</v>
      </c>
      <c r="T55" s="367">
        <f t="shared" si="39"/>
        <v>0</v>
      </c>
      <c r="U55" s="367">
        <f t="shared" si="39"/>
        <v>0</v>
      </c>
      <c r="V55" s="367">
        <f t="shared" si="39"/>
        <v>0</v>
      </c>
      <c r="W55" s="367">
        <f t="shared" si="39"/>
        <v>0</v>
      </c>
      <c r="X55" s="367">
        <f t="shared" si="39"/>
        <v>0</v>
      </c>
      <c r="Y55" s="367">
        <f t="shared" si="39"/>
        <v>0</v>
      </c>
      <c r="Z55" s="367">
        <f t="shared" si="39"/>
        <v>0</v>
      </c>
      <c r="AA55" s="367">
        <f t="shared" si="39"/>
        <v>0</v>
      </c>
      <c r="AB55" s="363">
        <f t="shared" si="4"/>
        <v>0</v>
      </c>
    </row>
    <row r="56" spans="1:28" x14ac:dyDescent="0.2">
      <c r="A56" s="366" t="s">
        <v>424</v>
      </c>
      <c r="B56" s="366"/>
      <c r="C56" s="367">
        <f t="shared" si="40"/>
        <v>100</v>
      </c>
      <c r="D56" s="367">
        <f t="shared" si="38"/>
        <v>100</v>
      </c>
      <c r="E56" s="367">
        <f t="shared" si="38"/>
        <v>100</v>
      </c>
      <c r="F56" s="367">
        <f t="shared" si="38"/>
        <v>100</v>
      </c>
      <c r="G56" s="367">
        <f t="shared" si="38"/>
        <v>100</v>
      </c>
      <c r="H56" s="367">
        <f t="shared" si="38"/>
        <v>100</v>
      </c>
      <c r="I56" s="367">
        <f t="shared" si="38"/>
        <v>100</v>
      </c>
      <c r="J56" s="367">
        <f t="shared" si="38"/>
        <v>100</v>
      </c>
      <c r="K56" s="367">
        <f t="shared" si="38"/>
        <v>100</v>
      </c>
      <c r="L56" s="367">
        <f t="shared" si="38"/>
        <v>100</v>
      </c>
      <c r="M56" s="367">
        <f t="shared" si="38"/>
        <v>100</v>
      </c>
      <c r="N56" s="367">
        <f t="shared" si="38"/>
        <v>100</v>
      </c>
      <c r="O56" s="363">
        <f t="shared" si="3"/>
        <v>1200</v>
      </c>
      <c r="P56" s="367">
        <f t="shared" si="39"/>
        <v>100</v>
      </c>
      <c r="Q56" s="367">
        <f t="shared" si="39"/>
        <v>100</v>
      </c>
      <c r="R56" s="367">
        <f t="shared" si="39"/>
        <v>100</v>
      </c>
      <c r="S56" s="367">
        <f t="shared" si="39"/>
        <v>100</v>
      </c>
      <c r="T56" s="367">
        <f t="shared" si="39"/>
        <v>100</v>
      </c>
      <c r="U56" s="367">
        <f t="shared" si="39"/>
        <v>100</v>
      </c>
      <c r="V56" s="367">
        <f t="shared" si="39"/>
        <v>100</v>
      </c>
      <c r="W56" s="367">
        <f t="shared" si="39"/>
        <v>100</v>
      </c>
      <c r="X56" s="367">
        <f t="shared" si="39"/>
        <v>100</v>
      </c>
      <c r="Y56" s="367">
        <f t="shared" si="39"/>
        <v>100</v>
      </c>
      <c r="Z56" s="367">
        <f t="shared" si="39"/>
        <v>100</v>
      </c>
      <c r="AA56" s="367">
        <f t="shared" si="39"/>
        <v>100</v>
      </c>
      <c r="AB56" s="363">
        <f t="shared" si="4"/>
        <v>1200</v>
      </c>
    </row>
    <row r="57" spans="1:28" s="377" customFormat="1" x14ac:dyDescent="0.2">
      <c r="A57" s="372" t="s">
        <v>425</v>
      </c>
      <c r="B57" s="372"/>
      <c r="C57" s="370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63">
        <f t="shared" si="3"/>
        <v>0</v>
      </c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63">
        <f t="shared" si="4"/>
        <v>0</v>
      </c>
    </row>
    <row r="58" spans="1:28" x14ac:dyDescent="0.2">
      <c r="A58" s="384" t="s">
        <v>170</v>
      </c>
      <c r="B58" s="384"/>
      <c r="C58" s="376">
        <f>SUM(C59:C60)</f>
        <v>0</v>
      </c>
      <c r="D58" s="376">
        <f>SUM(D59:D60)</f>
        <v>0</v>
      </c>
      <c r="E58" s="376">
        <f>SUM(E59:E60)</f>
        <v>0</v>
      </c>
      <c r="F58" s="376">
        <f>SUM(F59:F60)</f>
        <v>0</v>
      </c>
      <c r="G58" s="376">
        <f>SUM(G59:G60)</f>
        <v>0</v>
      </c>
      <c r="H58" s="376">
        <f t="shared" ref="H58:AA58" si="41">SUM(H59:H60)</f>
        <v>0</v>
      </c>
      <c r="I58" s="376">
        <f t="shared" si="41"/>
        <v>0</v>
      </c>
      <c r="J58" s="376">
        <f t="shared" si="41"/>
        <v>0</v>
      </c>
      <c r="K58" s="376">
        <f t="shared" si="41"/>
        <v>0</v>
      </c>
      <c r="L58" s="376">
        <f t="shared" si="41"/>
        <v>0</v>
      </c>
      <c r="M58" s="376">
        <f t="shared" si="41"/>
        <v>50000</v>
      </c>
      <c r="N58" s="376">
        <f t="shared" si="41"/>
        <v>0</v>
      </c>
      <c r="O58" s="358">
        <f t="shared" si="3"/>
        <v>50000</v>
      </c>
      <c r="P58" s="376">
        <f t="shared" si="41"/>
        <v>0</v>
      </c>
      <c r="Q58" s="376">
        <f t="shared" si="41"/>
        <v>0</v>
      </c>
      <c r="R58" s="376">
        <f t="shared" si="41"/>
        <v>0</v>
      </c>
      <c r="S58" s="376">
        <f t="shared" si="41"/>
        <v>0</v>
      </c>
      <c r="T58" s="376">
        <f t="shared" si="41"/>
        <v>0</v>
      </c>
      <c r="U58" s="376">
        <f t="shared" si="41"/>
        <v>0</v>
      </c>
      <c r="V58" s="376">
        <f t="shared" si="41"/>
        <v>0</v>
      </c>
      <c r="W58" s="376">
        <f t="shared" si="41"/>
        <v>0</v>
      </c>
      <c r="X58" s="376">
        <f t="shared" si="41"/>
        <v>0</v>
      </c>
      <c r="Y58" s="376">
        <f t="shared" si="41"/>
        <v>0</v>
      </c>
      <c r="Z58" s="376">
        <f t="shared" si="41"/>
        <v>168000</v>
      </c>
      <c r="AA58" s="376">
        <f t="shared" si="41"/>
        <v>0</v>
      </c>
      <c r="AB58" s="358">
        <f t="shared" si="4"/>
        <v>168000</v>
      </c>
    </row>
    <row r="59" spans="1:28" x14ac:dyDescent="0.2">
      <c r="A59" s="385" t="s">
        <v>426</v>
      </c>
      <c r="B59" s="385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>
        <f>ROUNDUP($B124*Revenue!B36,-2)</f>
        <v>25000</v>
      </c>
      <c r="N59" s="367"/>
      <c r="O59" s="363">
        <f t="shared" si="3"/>
        <v>25000</v>
      </c>
      <c r="P59" s="367"/>
      <c r="Q59" s="367"/>
      <c r="R59" s="367"/>
      <c r="S59" s="367"/>
      <c r="T59" s="367"/>
      <c r="U59" s="367"/>
      <c r="V59" s="367"/>
      <c r="W59" s="367"/>
      <c r="X59" s="367"/>
      <c r="Y59" s="367"/>
      <c r="Z59" s="367">
        <f>ROUNDUP($B124*Revenue!C36,-2)</f>
        <v>84000</v>
      </c>
      <c r="AA59" s="367"/>
      <c r="AB59" s="363">
        <f t="shared" si="4"/>
        <v>84000</v>
      </c>
    </row>
    <row r="60" spans="1:28" x14ac:dyDescent="0.2">
      <c r="A60" s="368" t="s">
        <v>427</v>
      </c>
      <c r="B60" s="385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>
        <f>$B125*Revenue!B36</f>
        <v>25000</v>
      </c>
      <c r="N60" s="367"/>
      <c r="O60" s="363">
        <f t="shared" si="3"/>
        <v>25000</v>
      </c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>
        <f>$B125*Revenue!C36</f>
        <v>84000.000000000015</v>
      </c>
      <c r="AA60" s="367"/>
      <c r="AB60" s="363">
        <f t="shared" si="4"/>
        <v>84000.000000000015</v>
      </c>
    </row>
    <row r="61" spans="1:28" x14ac:dyDescent="0.2">
      <c r="A61" s="323" t="s">
        <v>428</v>
      </c>
      <c r="B61" s="323"/>
      <c r="C61" s="386">
        <f>C6+C7+C25+C33+C43+C44+C58</f>
        <v>182044</v>
      </c>
      <c r="D61" s="386">
        <f>D6+D7+D25+D33+D43+D44+D58</f>
        <v>157534</v>
      </c>
      <c r="E61" s="386">
        <f>E6+E7+E25+E33+E43+E44+E58</f>
        <v>77534</v>
      </c>
      <c r="F61" s="386">
        <f>F6+F7+F25+F33+F43+F44+F58</f>
        <v>109534</v>
      </c>
      <c r="G61" s="386">
        <f>G6+G7+G25+G33+G43+G44+G58</f>
        <v>77534</v>
      </c>
      <c r="H61" s="386">
        <f t="shared" ref="H61:AA61" si="42">H6+H7+H25+H33+H43+H44+H58</f>
        <v>77534</v>
      </c>
      <c r="I61" s="386">
        <f t="shared" si="42"/>
        <v>85034</v>
      </c>
      <c r="J61" s="386">
        <f t="shared" si="42"/>
        <v>77534</v>
      </c>
      <c r="K61" s="386">
        <f t="shared" si="42"/>
        <v>77534</v>
      </c>
      <c r="L61" s="386">
        <f t="shared" si="42"/>
        <v>82534</v>
      </c>
      <c r="M61" s="386">
        <f t="shared" si="42"/>
        <v>127534</v>
      </c>
      <c r="N61" s="386">
        <f t="shared" si="42"/>
        <v>77534</v>
      </c>
      <c r="O61" s="358">
        <f t="shared" si="3"/>
        <v>1209418</v>
      </c>
      <c r="P61" s="386">
        <f t="shared" si="42"/>
        <v>202784</v>
      </c>
      <c r="Q61" s="386">
        <f t="shared" si="42"/>
        <v>179434</v>
      </c>
      <c r="R61" s="386">
        <f t="shared" si="42"/>
        <v>99434</v>
      </c>
      <c r="S61" s="386">
        <f t="shared" si="42"/>
        <v>131434</v>
      </c>
      <c r="T61" s="386">
        <f t="shared" si="42"/>
        <v>99434</v>
      </c>
      <c r="U61" s="386">
        <f t="shared" si="42"/>
        <v>99434</v>
      </c>
      <c r="V61" s="386">
        <f t="shared" si="42"/>
        <v>106934</v>
      </c>
      <c r="W61" s="386">
        <f t="shared" si="42"/>
        <v>99434</v>
      </c>
      <c r="X61" s="386">
        <f t="shared" si="42"/>
        <v>99434</v>
      </c>
      <c r="Y61" s="386">
        <f t="shared" si="42"/>
        <v>104434</v>
      </c>
      <c r="Z61" s="386">
        <f t="shared" si="42"/>
        <v>267434</v>
      </c>
      <c r="AA61" s="386">
        <f t="shared" si="42"/>
        <v>99434</v>
      </c>
      <c r="AB61" s="358">
        <f t="shared" si="4"/>
        <v>1589058</v>
      </c>
    </row>
    <row r="62" spans="1:28" x14ac:dyDescent="0.2">
      <c r="A62" s="330"/>
      <c r="B62" s="330"/>
      <c r="C62" s="355"/>
      <c r="D62" s="355"/>
      <c r="E62" s="355"/>
      <c r="F62" s="355"/>
      <c r="G62" s="355"/>
      <c r="S62" s="355"/>
      <c r="T62" s="355"/>
      <c r="U62" s="355"/>
      <c r="V62" s="355"/>
      <c r="W62" s="355"/>
      <c r="X62" s="355"/>
      <c r="Y62" s="355"/>
      <c r="Z62" s="355"/>
      <c r="AA62" s="355"/>
    </row>
    <row r="63" spans="1:28" x14ac:dyDescent="0.2">
      <c r="A63" s="330"/>
      <c r="B63" s="330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AB63" s="354"/>
    </row>
    <row r="64" spans="1:28" x14ac:dyDescent="0.2">
      <c r="A64" s="330"/>
      <c r="B64" s="330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R64" s="354"/>
      <c r="AB64" s="354"/>
    </row>
    <row r="65" spans="1:28" x14ac:dyDescent="0.2">
      <c r="A65" s="473" t="s">
        <v>381</v>
      </c>
      <c r="B65" s="474" t="s">
        <v>429</v>
      </c>
      <c r="C65" s="475">
        <f>C5</f>
        <v>39844</v>
      </c>
      <c r="D65" s="475">
        <f>D5</f>
        <v>39872</v>
      </c>
      <c r="E65" s="475">
        <f>E5</f>
        <v>39902</v>
      </c>
      <c r="F65" s="475">
        <f>F5</f>
        <v>39932</v>
      </c>
      <c r="G65" s="475">
        <f>G5</f>
        <v>39962</v>
      </c>
      <c r="H65" s="475">
        <f t="shared" ref="H65:AA65" si="43">H5</f>
        <v>39992</v>
      </c>
      <c r="I65" s="475">
        <f t="shared" si="43"/>
        <v>40022</v>
      </c>
      <c r="J65" s="475">
        <f t="shared" si="43"/>
        <v>40052</v>
      </c>
      <c r="K65" s="475">
        <f t="shared" si="43"/>
        <v>40082</v>
      </c>
      <c r="L65" s="475">
        <f t="shared" si="43"/>
        <v>40112</v>
      </c>
      <c r="M65" s="475">
        <f t="shared" si="43"/>
        <v>40142</v>
      </c>
      <c r="N65" s="475">
        <f t="shared" si="43"/>
        <v>40172</v>
      </c>
      <c r="O65" s="475"/>
      <c r="P65" s="475">
        <f t="shared" si="43"/>
        <v>40202</v>
      </c>
      <c r="Q65" s="475">
        <f t="shared" si="43"/>
        <v>40230</v>
      </c>
      <c r="R65" s="475">
        <f t="shared" si="43"/>
        <v>40260</v>
      </c>
      <c r="S65" s="475">
        <f t="shared" si="43"/>
        <v>40290</v>
      </c>
      <c r="T65" s="475">
        <f t="shared" si="43"/>
        <v>40320</v>
      </c>
      <c r="U65" s="475">
        <f t="shared" si="43"/>
        <v>40350</v>
      </c>
      <c r="V65" s="475">
        <f t="shared" si="43"/>
        <v>40380</v>
      </c>
      <c r="W65" s="475">
        <f t="shared" si="43"/>
        <v>40410</v>
      </c>
      <c r="X65" s="475">
        <f t="shared" si="43"/>
        <v>40440</v>
      </c>
      <c r="Y65" s="475">
        <f t="shared" si="43"/>
        <v>40470</v>
      </c>
      <c r="Z65" s="475">
        <f t="shared" si="43"/>
        <v>40500</v>
      </c>
      <c r="AA65" s="475">
        <f t="shared" si="43"/>
        <v>40530</v>
      </c>
      <c r="AB65" s="476"/>
    </row>
    <row r="66" spans="1:28" x14ac:dyDescent="0.2">
      <c r="A66" s="387" t="s">
        <v>159</v>
      </c>
      <c r="B66" s="323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389"/>
      <c r="P66" s="388"/>
      <c r="Q66" s="388"/>
      <c r="R66" s="388"/>
      <c r="S66" s="388"/>
      <c r="T66" s="388"/>
      <c r="U66" s="388"/>
      <c r="V66" s="388"/>
      <c r="W66" s="388"/>
      <c r="X66" s="388"/>
      <c r="Y66" s="388"/>
      <c r="Z66" s="388"/>
      <c r="AA66" s="388"/>
      <c r="AB66" s="390"/>
    </row>
    <row r="67" spans="1:28" x14ac:dyDescent="0.2">
      <c r="A67" s="391" t="s">
        <v>382</v>
      </c>
      <c r="B67" s="330"/>
      <c r="C67" s="388"/>
      <c r="D67" s="388"/>
      <c r="E67" s="388"/>
      <c r="F67" s="388"/>
      <c r="G67" s="388"/>
      <c r="H67" s="388"/>
      <c r="I67" s="388"/>
      <c r="J67" s="388"/>
      <c r="K67" s="388"/>
      <c r="L67" s="388"/>
      <c r="M67" s="388"/>
      <c r="N67" s="388"/>
      <c r="O67" s="389"/>
      <c r="P67" s="388"/>
      <c r="Q67" s="388"/>
      <c r="R67" s="388"/>
      <c r="S67" s="388"/>
      <c r="T67" s="388"/>
      <c r="U67" s="388"/>
      <c r="V67" s="388"/>
      <c r="W67" s="388"/>
      <c r="X67" s="388"/>
      <c r="Y67" s="388"/>
      <c r="Z67" s="388"/>
      <c r="AA67" s="388"/>
      <c r="AB67" s="390"/>
    </row>
    <row r="68" spans="1:28" x14ac:dyDescent="0.2">
      <c r="A68" s="392" t="s">
        <v>383</v>
      </c>
      <c r="B68" s="368"/>
      <c r="C68" s="388"/>
      <c r="D68" s="388"/>
      <c r="E68" s="388"/>
      <c r="F68" s="388"/>
      <c r="G68" s="388"/>
      <c r="H68" s="388"/>
      <c r="I68" s="388"/>
      <c r="J68" s="388"/>
      <c r="K68" s="388"/>
      <c r="L68" s="388"/>
      <c r="M68" s="388"/>
      <c r="N68" s="388"/>
      <c r="O68" s="389"/>
      <c r="P68" s="388"/>
      <c r="Q68" s="388"/>
      <c r="R68" s="388"/>
      <c r="S68" s="388"/>
      <c r="T68" s="388"/>
      <c r="U68" s="388"/>
      <c r="V68" s="388"/>
      <c r="W68" s="388"/>
      <c r="X68" s="388"/>
      <c r="Y68" s="388"/>
      <c r="Z68" s="388"/>
      <c r="AA68" s="388"/>
      <c r="AB68" s="390"/>
    </row>
    <row r="69" spans="1:28" x14ac:dyDescent="0.2">
      <c r="A69" s="379" t="s">
        <v>384</v>
      </c>
      <c r="B69" s="459">
        <v>1500</v>
      </c>
      <c r="C69" s="394">
        <f>Manpower!B13</f>
        <v>11</v>
      </c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5"/>
      <c r="P69" s="394">
        <f>Manpower!C14</f>
        <v>3</v>
      </c>
      <c r="Q69" s="394"/>
      <c r="R69" s="394"/>
      <c r="S69" s="394"/>
      <c r="T69" s="394"/>
      <c r="U69" s="394"/>
      <c r="V69" s="394"/>
      <c r="W69" s="394"/>
      <c r="X69" s="394"/>
      <c r="Y69" s="394"/>
      <c r="Z69" s="394"/>
      <c r="AA69" s="394"/>
      <c r="AB69" s="396"/>
    </row>
    <row r="70" spans="1:28" x14ac:dyDescent="0.2">
      <c r="A70" s="379" t="s">
        <v>385</v>
      </c>
      <c r="B70" s="459">
        <v>1800</v>
      </c>
      <c r="C70" s="394">
        <f>Manpower!B24</f>
        <v>1</v>
      </c>
      <c r="D70" s="394"/>
      <c r="E70" s="394"/>
      <c r="F70" s="394"/>
      <c r="G70" s="394"/>
      <c r="H70" s="394"/>
      <c r="I70" s="394"/>
      <c r="J70" s="394"/>
      <c r="K70" s="394"/>
      <c r="L70" s="394"/>
      <c r="M70" s="394"/>
      <c r="N70" s="394"/>
      <c r="O70" s="395"/>
      <c r="P70" s="394">
        <f>Manpower!C24</f>
        <v>0</v>
      </c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6"/>
    </row>
    <row r="71" spans="1:28" x14ac:dyDescent="0.2">
      <c r="A71" s="379" t="s">
        <v>386</v>
      </c>
      <c r="B71" s="459">
        <v>1000</v>
      </c>
      <c r="C71" s="394">
        <f>Manpower!B27</f>
        <v>1</v>
      </c>
      <c r="D71" s="394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5"/>
      <c r="P71" s="394">
        <f>Manpower!C27</f>
        <v>0</v>
      </c>
      <c r="Q71" s="394"/>
      <c r="R71" s="394"/>
      <c r="S71" s="394"/>
      <c r="T71" s="394"/>
      <c r="U71" s="394"/>
      <c r="V71" s="394"/>
      <c r="W71" s="394"/>
      <c r="X71" s="394"/>
      <c r="Y71" s="394"/>
      <c r="Z71" s="394"/>
      <c r="AA71" s="394"/>
      <c r="AB71" s="396"/>
    </row>
    <row r="72" spans="1:28" x14ac:dyDescent="0.2">
      <c r="A72" s="392" t="s">
        <v>387</v>
      </c>
      <c r="B72" s="368"/>
      <c r="C72" s="397"/>
      <c r="D72" s="397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9"/>
      <c r="P72" s="397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90"/>
    </row>
    <row r="73" spans="1:28" x14ac:dyDescent="0.2">
      <c r="A73" s="379" t="s">
        <v>388</v>
      </c>
      <c r="B73" s="459">
        <v>250</v>
      </c>
      <c r="C73" s="394">
        <f>C$69</f>
        <v>11</v>
      </c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5"/>
      <c r="P73" s="394">
        <f>P$69</f>
        <v>3</v>
      </c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6"/>
    </row>
    <row r="74" spans="1:28" x14ac:dyDescent="0.2">
      <c r="A74" s="379" t="s">
        <v>377</v>
      </c>
      <c r="B74" s="459">
        <v>300</v>
      </c>
      <c r="C74" s="394">
        <f>Manpower!B29</f>
        <v>1</v>
      </c>
      <c r="D74" s="394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5"/>
      <c r="P74" s="394">
        <f>Manpower!C29</f>
        <v>0</v>
      </c>
      <c r="Q74" s="394"/>
      <c r="R74" s="394"/>
      <c r="S74" s="394"/>
      <c r="T74" s="394"/>
      <c r="U74" s="394"/>
      <c r="V74" s="394"/>
      <c r="W74" s="394"/>
      <c r="X74" s="394"/>
      <c r="Y74" s="394"/>
      <c r="Z74" s="394"/>
      <c r="AA74" s="394"/>
      <c r="AB74" s="396"/>
    </row>
    <row r="75" spans="1:28" x14ac:dyDescent="0.2">
      <c r="A75" s="379" t="s">
        <v>389</v>
      </c>
      <c r="B75" s="459">
        <v>200</v>
      </c>
      <c r="C75" s="394">
        <f>C$69</f>
        <v>11</v>
      </c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5"/>
      <c r="P75" s="394">
        <f>P$69</f>
        <v>3</v>
      </c>
      <c r="Q75" s="394"/>
      <c r="R75" s="394"/>
      <c r="S75" s="394"/>
      <c r="T75" s="394"/>
      <c r="U75" s="394"/>
      <c r="V75" s="394"/>
      <c r="W75" s="394"/>
      <c r="X75" s="394"/>
      <c r="Y75" s="394"/>
      <c r="Z75" s="394"/>
      <c r="AA75" s="394"/>
      <c r="AB75" s="396"/>
    </row>
    <row r="76" spans="1:28" x14ac:dyDescent="0.2">
      <c r="A76" s="379" t="s">
        <v>390</v>
      </c>
      <c r="B76" s="459">
        <v>100</v>
      </c>
      <c r="C76" s="394">
        <f>Manpower!B31+Manpower!B33</f>
        <v>4</v>
      </c>
      <c r="D76" s="394"/>
      <c r="E76" s="394"/>
      <c r="F76" s="394"/>
      <c r="G76" s="394"/>
      <c r="H76" s="394"/>
      <c r="I76" s="394"/>
      <c r="J76" s="394"/>
      <c r="K76" s="394"/>
      <c r="L76" s="394"/>
      <c r="M76" s="394"/>
      <c r="N76" s="394"/>
      <c r="O76" s="395"/>
      <c r="P76" s="394">
        <f>Manpower!C31+Manpower!C33</f>
        <v>0</v>
      </c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6"/>
    </row>
    <row r="77" spans="1:28" x14ac:dyDescent="0.2">
      <c r="A77" s="392" t="s">
        <v>391</v>
      </c>
      <c r="B77" s="368"/>
      <c r="C77" s="397"/>
      <c r="D77" s="397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9"/>
      <c r="P77" s="388"/>
      <c r="Q77" s="388"/>
      <c r="R77" s="388"/>
      <c r="S77" s="388"/>
      <c r="T77" s="388"/>
      <c r="U77" s="388"/>
      <c r="V77" s="388"/>
      <c r="W77" s="388"/>
      <c r="X77" s="388"/>
      <c r="Y77" s="388"/>
      <c r="Z77" s="388"/>
      <c r="AA77" s="388"/>
      <c r="AB77" s="390"/>
    </row>
    <row r="78" spans="1:28" x14ac:dyDescent="0.2">
      <c r="A78" s="379" t="s">
        <v>392</v>
      </c>
      <c r="B78" s="460">
        <v>634</v>
      </c>
      <c r="C78" s="399">
        <v>1</v>
      </c>
      <c r="D78" s="399">
        <v>1</v>
      </c>
      <c r="E78" s="399">
        <v>1</v>
      </c>
      <c r="F78" s="399">
        <v>1</v>
      </c>
      <c r="G78" s="399">
        <v>1</v>
      </c>
      <c r="H78" s="399">
        <v>1</v>
      </c>
      <c r="I78" s="399">
        <v>1</v>
      </c>
      <c r="J78" s="399">
        <v>1</v>
      </c>
      <c r="K78" s="399">
        <v>1</v>
      </c>
      <c r="L78" s="399">
        <v>1</v>
      </c>
      <c r="M78" s="399">
        <v>1</v>
      </c>
      <c r="N78" s="399">
        <v>1</v>
      </c>
      <c r="O78" s="395"/>
      <c r="P78" s="400">
        <v>1</v>
      </c>
      <c r="Q78" s="400">
        <v>1</v>
      </c>
      <c r="R78" s="400">
        <v>1</v>
      </c>
      <c r="S78" s="400">
        <v>1</v>
      </c>
      <c r="T78" s="400">
        <v>1</v>
      </c>
      <c r="U78" s="400">
        <v>1</v>
      </c>
      <c r="V78" s="400">
        <v>1</v>
      </c>
      <c r="W78" s="400">
        <v>1</v>
      </c>
      <c r="X78" s="400">
        <v>1</v>
      </c>
      <c r="Y78" s="400">
        <v>1</v>
      </c>
      <c r="Z78" s="400">
        <v>1</v>
      </c>
      <c r="AA78" s="400">
        <v>1</v>
      </c>
      <c r="AB78" s="396"/>
    </row>
    <row r="79" spans="1:28" s="377" customFormat="1" x14ac:dyDescent="0.2">
      <c r="A79" s="401" t="s">
        <v>393</v>
      </c>
      <c r="B79" s="369"/>
      <c r="C79" s="402"/>
      <c r="D79" s="402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4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5"/>
    </row>
    <row r="80" spans="1:28" s="377" customFormat="1" x14ac:dyDescent="0.2">
      <c r="A80" s="406" t="s">
        <v>394</v>
      </c>
      <c r="B80" s="407"/>
      <c r="C80" s="408"/>
      <c r="D80" s="408"/>
      <c r="E80" s="409"/>
      <c r="F80" s="409"/>
      <c r="G80" s="409"/>
      <c r="H80" s="409"/>
      <c r="I80" s="409"/>
      <c r="J80" s="409"/>
      <c r="K80" s="409"/>
      <c r="L80" s="409"/>
      <c r="M80" s="409"/>
      <c r="N80" s="409"/>
      <c r="O80" s="410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11"/>
    </row>
    <row r="81" spans="1:28" s="377" customFormat="1" x14ac:dyDescent="0.2">
      <c r="A81" s="406" t="s">
        <v>395</v>
      </c>
      <c r="B81" s="407"/>
      <c r="C81" s="408"/>
      <c r="D81" s="408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10"/>
      <c r="P81" s="409"/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11"/>
    </row>
    <row r="82" spans="1:28" x14ac:dyDescent="0.2">
      <c r="A82" s="412" t="s">
        <v>396</v>
      </c>
      <c r="B82" s="393"/>
      <c r="C82" s="397"/>
      <c r="D82" s="397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9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90"/>
    </row>
    <row r="83" spans="1:28" x14ac:dyDescent="0.2">
      <c r="A83" s="379" t="s">
        <v>397</v>
      </c>
      <c r="B83" s="459">
        <v>15000</v>
      </c>
      <c r="C83" s="400">
        <v>1</v>
      </c>
      <c r="D83" s="413"/>
      <c r="E83" s="414"/>
      <c r="F83" s="394"/>
      <c r="G83" s="414"/>
      <c r="H83" s="414"/>
      <c r="I83" s="414"/>
      <c r="J83" s="414"/>
      <c r="K83" s="414"/>
      <c r="L83" s="414"/>
      <c r="M83" s="414"/>
      <c r="N83" s="414"/>
      <c r="O83" s="415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6"/>
    </row>
    <row r="84" spans="1:28" x14ac:dyDescent="0.2">
      <c r="A84" s="417" t="s">
        <v>160</v>
      </c>
      <c r="B84" s="393"/>
      <c r="C84" s="397"/>
      <c r="D84" s="397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9"/>
      <c r="P84" s="388"/>
      <c r="Q84" s="388"/>
      <c r="R84" s="388"/>
      <c r="S84" s="388"/>
      <c r="T84" s="388"/>
      <c r="U84" s="388"/>
      <c r="V84" s="388"/>
      <c r="W84" s="388"/>
      <c r="X84" s="388"/>
      <c r="Y84" s="388"/>
      <c r="Z84" s="388"/>
      <c r="AA84" s="388"/>
      <c r="AB84" s="390"/>
    </row>
    <row r="85" spans="1:28" s="355" customFormat="1" x14ac:dyDescent="0.2">
      <c r="A85" s="392" t="s">
        <v>398</v>
      </c>
      <c r="B85" s="459">
        <f>5000</f>
        <v>5000</v>
      </c>
      <c r="C85" s="400">
        <v>1</v>
      </c>
      <c r="D85" s="394"/>
      <c r="E85" s="394"/>
      <c r="F85" s="400">
        <v>1</v>
      </c>
      <c r="G85" s="394"/>
      <c r="H85" s="394"/>
      <c r="I85" s="400">
        <v>1</v>
      </c>
      <c r="J85" s="394"/>
      <c r="K85" s="394"/>
      <c r="L85" s="400">
        <v>1</v>
      </c>
      <c r="M85" s="394"/>
      <c r="N85" s="394"/>
      <c r="O85" s="395"/>
      <c r="P85" s="400">
        <v>1</v>
      </c>
      <c r="Q85" s="394"/>
      <c r="R85" s="394"/>
      <c r="S85" s="400">
        <v>1</v>
      </c>
      <c r="T85" s="394"/>
      <c r="U85" s="394"/>
      <c r="V85" s="400">
        <v>1</v>
      </c>
      <c r="W85" s="394"/>
      <c r="X85" s="394"/>
      <c r="Y85" s="400">
        <v>1</v>
      </c>
      <c r="Z85" s="394"/>
      <c r="AA85" s="394"/>
      <c r="AB85" s="396"/>
    </row>
    <row r="86" spans="1:28" s="355" customFormat="1" x14ac:dyDescent="0.2">
      <c r="A86" s="392" t="s">
        <v>399</v>
      </c>
      <c r="B86" s="393"/>
      <c r="C86" s="394"/>
      <c r="D86" s="397"/>
      <c r="E86" s="388"/>
      <c r="F86" s="388"/>
      <c r="G86" s="388"/>
      <c r="H86" s="388"/>
      <c r="I86" s="388"/>
      <c r="J86" s="388"/>
      <c r="K86" s="388"/>
      <c r="L86" s="388"/>
      <c r="M86" s="388"/>
      <c r="N86" s="388"/>
      <c r="O86" s="389"/>
      <c r="P86" s="388"/>
      <c r="Q86" s="388"/>
      <c r="R86" s="388"/>
      <c r="S86" s="388"/>
      <c r="T86" s="388"/>
      <c r="U86" s="388"/>
      <c r="V86" s="388"/>
      <c r="W86" s="388"/>
      <c r="X86" s="388"/>
      <c r="Y86" s="388"/>
      <c r="Z86" s="388"/>
      <c r="AA86" s="388"/>
      <c r="AB86" s="390"/>
    </row>
    <row r="87" spans="1:28" s="355" customFormat="1" x14ac:dyDescent="0.2">
      <c r="A87" s="379" t="s">
        <v>430</v>
      </c>
      <c r="B87" s="459">
        <v>14000</v>
      </c>
      <c r="C87" s="397"/>
      <c r="D87" s="394"/>
      <c r="E87" s="394"/>
      <c r="F87" s="394"/>
      <c r="G87" s="394"/>
      <c r="H87" s="388"/>
      <c r="I87" s="388"/>
      <c r="J87" s="388"/>
      <c r="K87" s="388"/>
      <c r="L87" s="388"/>
      <c r="M87" s="388"/>
      <c r="N87" s="388"/>
      <c r="O87" s="389"/>
      <c r="P87" s="388"/>
      <c r="Q87" s="388"/>
      <c r="R87" s="388"/>
      <c r="S87" s="388"/>
      <c r="T87" s="388"/>
      <c r="U87" s="388"/>
      <c r="V87" s="388"/>
      <c r="W87" s="388"/>
      <c r="X87" s="388"/>
      <c r="Y87" s="388"/>
      <c r="Z87" s="388"/>
      <c r="AA87" s="388"/>
      <c r="AB87" s="390"/>
    </row>
    <row r="88" spans="1:28" s="355" customFormat="1" x14ac:dyDescent="0.2">
      <c r="A88" s="379" t="s">
        <v>431</v>
      </c>
      <c r="B88" s="459">
        <v>20000</v>
      </c>
      <c r="C88" s="397"/>
      <c r="D88" s="394"/>
      <c r="E88" s="394"/>
      <c r="F88" s="394"/>
      <c r="G88" s="394"/>
      <c r="H88" s="388"/>
      <c r="I88" s="388"/>
      <c r="J88" s="388"/>
      <c r="K88" s="388"/>
      <c r="L88" s="388"/>
      <c r="M88" s="388"/>
      <c r="N88" s="388"/>
      <c r="O88" s="389"/>
      <c r="P88" s="388"/>
      <c r="Q88" s="388"/>
      <c r="R88" s="388"/>
      <c r="S88" s="388"/>
      <c r="T88" s="388"/>
      <c r="U88" s="388"/>
      <c r="V88" s="388"/>
      <c r="W88" s="388"/>
      <c r="X88" s="388"/>
      <c r="Y88" s="388"/>
      <c r="Z88" s="388"/>
      <c r="AA88" s="388"/>
      <c r="AB88" s="390"/>
    </row>
    <row r="89" spans="1:28" s="355" customFormat="1" x14ac:dyDescent="0.2">
      <c r="A89" s="379" t="s">
        <v>432</v>
      </c>
      <c r="B89" s="459">
        <v>17000</v>
      </c>
      <c r="C89" s="397"/>
      <c r="D89" s="394"/>
      <c r="E89" s="394"/>
      <c r="F89" s="394"/>
      <c r="G89" s="394"/>
      <c r="H89" s="388"/>
      <c r="I89" s="388"/>
      <c r="J89" s="388"/>
      <c r="K89" s="388"/>
      <c r="L89" s="388"/>
      <c r="M89" s="388"/>
      <c r="N89" s="388"/>
      <c r="O89" s="389"/>
      <c r="P89" s="388"/>
      <c r="Q89" s="388"/>
      <c r="R89" s="388"/>
      <c r="S89" s="388"/>
      <c r="T89" s="388"/>
      <c r="U89" s="388"/>
      <c r="V89" s="388"/>
      <c r="W89" s="388"/>
      <c r="X89" s="388"/>
      <c r="Y89" s="388"/>
      <c r="Z89" s="388"/>
      <c r="AA89" s="388"/>
      <c r="AB89" s="390"/>
    </row>
    <row r="90" spans="1:28" s="355" customFormat="1" x14ac:dyDescent="0.2">
      <c r="A90" s="379" t="s">
        <v>433</v>
      </c>
      <c r="B90" s="459">
        <v>8000</v>
      </c>
      <c r="C90" s="397"/>
      <c r="D90" s="394"/>
      <c r="E90" s="394"/>
      <c r="F90" s="394"/>
      <c r="G90" s="394"/>
      <c r="H90" s="388"/>
      <c r="I90" s="388"/>
      <c r="J90" s="388"/>
      <c r="K90" s="388"/>
      <c r="L90" s="388"/>
      <c r="M90" s="388"/>
      <c r="N90" s="388"/>
      <c r="O90" s="389"/>
      <c r="P90" s="388"/>
      <c r="Q90" s="388"/>
      <c r="R90" s="388"/>
      <c r="S90" s="388"/>
      <c r="T90" s="388"/>
      <c r="U90" s="388"/>
      <c r="V90" s="388"/>
      <c r="W90" s="388"/>
      <c r="X90" s="388"/>
      <c r="Y90" s="388"/>
      <c r="Z90" s="388"/>
      <c r="AA90" s="388"/>
      <c r="AB90" s="390"/>
    </row>
    <row r="91" spans="1:28" s="355" customFormat="1" x14ac:dyDescent="0.2">
      <c r="A91" s="379" t="s">
        <v>434</v>
      </c>
      <c r="B91" s="459">
        <v>8000</v>
      </c>
      <c r="C91" s="394"/>
      <c r="D91" s="394"/>
      <c r="E91" s="394"/>
      <c r="F91" s="394"/>
      <c r="G91" s="394"/>
      <c r="H91" s="388"/>
      <c r="I91" s="388"/>
      <c r="J91" s="388"/>
      <c r="K91" s="388"/>
      <c r="L91" s="388"/>
      <c r="M91" s="388"/>
      <c r="N91" s="388"/>
      <c r="O91" s="389"/>
      <c r="P91" s="394"/>
      <c r="Q91" s="388"/>
      <c r="R91" s="388"/>
      <c r="S91" s="388"/>
      <c r="T91" s="388"/>
      <c r="U91" s="388"/>
      <c r="V91" s="388"/>
      <c r="W91" s="388"/>
      <c r="X91" s="388"/>
      <c r="Y91" s="388"/>
      <c r="Z91" s="388"/>
      <c r="AA91" s="388"/>
      <c r="AB91" s="390"/>
    </row>
    <row r="92" spans="1:28" s="355" customFormat="1" x14ac:dyDescent="0.2">
      <c r="A92" s="379" t="s">
        <v>435</v>
      </c>
      <c r="B92" s="459">
        <v>1700</v>
      </c>
      <c r="C92" s="400">
        <v>1</v>
      </c>
      <c r="D92" s="397"/>
      <c r="E92" s="388"/>
      <c r="F92" s="388"/>
      <c r="G92" s="388"/>
      <c r="H92" s="388"/>
      <c r="I92" s="388"/>
      <c r="J92" s="388"/>
      <c r="K92" s="388"/>
      <c r="L92" s="388"/>
      <c r="M92" s="388"/>
      <c r="N92" s="388"/>
      <c r="O92" s="389"/>
      <c r="P92" s="388"/>
      <c r="Q92" s="388"/>
      <c r="R92" s="388"/>
      <c r="S92" s="388"/>
      <c r="T92" s="388"/>
      <c r="U92" s="388"/>
      <c r="V92" s="388"/>
      <c r="W92" s="388"/>
      <c r="X92" s="388"/>
      <c r="Y92" s="388"/>
      <c r="Z92" s="388"/>
      <c r="AA92" s="388"/>
      <c r="AB92" s="390"/>
    </row>
    <row r="93" spans="1:28" s="355" customFormat="1" x14ac:dyDescent="0.2">
      <c r="A93" s="392" t="s">
        <v>400</v>
      </c>
      <c r="B93" s="459">
        <v>1000</v>
      </c>
      <c r="C93" s="397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9"/>
      <c r="P93" s="400">
        <v>1</v>
      </c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420"/>
    </row>
    <row r="94" spans="1:28" s="355" customFormat="1" x14ac:dyDescent="0.2">
      <c r="A94" s="392" t="s">
        <v>401</v>
      </c>
      <c r="B94" s="459">
        <v>2500</v>
      </c>
      <c r="C94" s="418"/>
      <c r="D94" s="418"/>
      <c r="E94" s="418"/>
      <c r="F94" s="418"/>
      <c r="G94" s="418"/>
      <c r="H94" s="418"/>
      <c r="I94" s="400">
        <v>1</v>
      </c>
      <c r="J94" s="418"/>
      <c r="K94" s="418"/>
      <c r="L94" s="418"/>
      <c r="M94" s="418"/>
      <c r="N94" s="418"/>
      <c r="O94" s="395"/>
      <c r="P94" s="418"/>
      <c r="Q94" s="418"/>
      <c r="R94" s="418"/>
      <c r="S94" s="418"/>
      <c r="T94" s="418"/>
      <c r="U94" s="418"/>
      <c r="V94" s="400">
        <v>1</v>
      </c>
      <c r="W94" s="418"/>
      <c r="X94" s="418"/>
      <c r="Y94" s="418"/>
      <c r="Z94" s="418"/>
      <c r="AA94" s="418"/>
      <c r="AB94" s="396"/>
    </row>
    <row r="95" spans="1:28" s="355" customFormat="1" x14ac:dyDescent="0.2">
      <c r="A95" s="392" t="s">
        <v>402</v>
      </c>
      <c r="B95" s="459">
        <f>6000/12</f>
        <v>500</v>
      </c>
      <c r="C95" s="400">
        <v>1</v>
      </c>
      <c r="D95" s="400">
        <v>1</v>
      </c>
      <c r="E95" s="400">
        <v>1</v>
      </c>
      <c r="F95" s="400">
        <v>1</v>
      </c>
      <c r="G95" s="400">
        <v>1</v>
      </c>
      <c r="H95" s="400">
        <v>1</v>
      </c>
      <c r="I95" s="400">
        <v>1</v>
      </c>
      <c r="J95" s="400">
        <v>1</v>
      </c>
      <c r="K95" s="400">
        <v>1</v>
      </c>
      <c r="L95" s="400">
        <v>1</v>
      </c>
      <c r="M95" s="400">
        <v>1</v>
      </c>
      <c r="N95" s="400">
        <v>1</v>
      </c>
      <c r="O95" s="395"/>
      <c r="P95" s="400">
        <v>1</v>
      </c>
      <c r="Q95" s="400">
        <v>1</v>
      </c>
      <c r="R95" s="400">
        <v>1</v>
      </c>
      <c r="S95" s="400">
        <v>1</v>
      </c>
      <c r="T95" s="400">
        <v>1</v>
      </c>
      <c r="U95" s="400">
        <v>1</v>
      </c>
      <c r="V95" s="400">
        <v>1</v>
      </c>
      <c r="W95" s="400">
        <v>1</v>
      </c>
      <c r="X95" s="400">
        <v>1</v>
      </c>
      <c r="Y95" s="400">
        <v>1</v>
      </c>
      <c r="Z95" s="400">
        <v>1</v>
      </c>
      <c r="AA95" s="400">
        <v>1</v>
      </c>
      <c r="AB95" s="396"/>
    </row>
    <row r="96" spans="1:28" s="355" customFormat="1" x14ac:dyDescent="0.2">
      <c r="A96" s="392" t="s">
        <v>403</v>
      </c>
      <c r="B96" s="459">
        <v>7500</v>
      </c>
      <c r="C96" s="400">
        <v>1</v>
      </c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5"/>
      <c r="P96" s="400">
        <v>1</v>
      </c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6"/>
    </row>
    <row r="97" spans="1:28" s="371" customFormat="1" x14ac:dyDescent="0.2">
      <c r="A97" s="401" t="s">
        <v>404</v>
      </c>
      <c r="B97" s="407">
        <v>5000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4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5"/>
    </row>
    <row r="98" spans="1:28" s="355" customFormat="1" x14ac:dyDescent="0.2">
      <c r="A98" s="417" t="s">
        <v>161</v>
      </c>
      <c r="B98" s="393"/>
      <c r="C98" s="397"/>
      <c r="D98" s="397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9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90"/>
    </row>
    <row r="99" spans="1:28" s="355" customFormat="1" x14ac:dyDescent="0.2">
      <c r="A99" s="392" t="s">
        <v>405</v>
      </c>
      <c r="B99" s="393"/>
      <c r="C99" s="394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9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20"/>
    </row>
    <row r="100" spans="1:28" s="355" customFormat="1" x14ac:dyDescent="0.2">
      <c r="A100" s="379" t="s">
        <v>406</v>
      </c>
      <c r="B100" s="459">
        <v>15000</v>
      </c>
      <c r="D100" s="418"/>
      <c r="E100" s="418"/>
      <c r="F100" s="400">
        <v>1</v>
      </c>
      <c r="G100" s="418"/>
      <c r="H100" s="418"/>
      <c r="I100" s="418"/>
      <c r="J100" s="418"/>
      <c r="K100" s="418"/>
      <c r="L100" s="418"/>
      <c r="M100" s="418"/>
      <c r="N100" s="418"/>
      <c r="O100" s="419"/>
      <c r="Q100" s="418"/>
      <c r="R100" s="418"/>
      <c r="S100" s="400">
        <v>1</v>
      </c>
      <c r="T100" s="418"/>
      <c r="U100" s="418"/>
      <c r="V100" s="418"/>
      <c r="W100" s="418"/>
      <c r="X100" s="418"/>
      <c r="Y100" s="418"/>
      <c r="Z100" s="418"/>
      <c r="AA100" s="418"/>
      <c r="AB100" s="420"/>
    </row>
    <row r="101" spans="1:28" s="355" customFormat="1" x14ac:dyDescent="0.2">
      <c r="A101" s="379" t="s">
        <v>407</v>
      </c>
      <c r="B101" s="459">
        <v>7000</v>
      </c>
      <c r="D101" s="418"/>
      <c r="E101" s="418"/>
      <c r="F101" s="400">
        <v>1</v>
      </c>
      <c r="G101" s="418"/>
      <c r="H101" s="418"/>
      <c r="I101" s="418"/>
      <c r="J101" s="418"/>
      <c r="K101" s="418"/>
      <c r="L101" s="418"/>
      <c r="M101" s="418"/>
      <c r="N101" s="418"/>
      <c r="O101" s="419"/>
      <c r="Q101" s="418"/>
      <c r="R101" s="418"/>
      <c r="S101" s="400">
        <v>1</v>
      </c>
      <c r="T101" s="418"/>
      <c r="U101" s="418"/>
      <c r="V101" s="418"/>
      <c r="W101" s="418"/>
      <c r="X101" s="418"/>
      <c r="Y101" s="418"/>
      <c r="Z101" s="418"/>
      <c r="AA101" s="418"/>
      <c r="AB101" s="420"/>
    </row>
    <row r="102" spans="1:28" s="355" customFormat="1" x14ac:dyDescent="0.2">
      <c r="A102" s="392" t="s">
        <v>408</v>
      </c>
      <c r="B102" s="38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9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20"/>
    </row>
    <row r="103" spans="1:28" x14ac:dyDescent="0.2">
      <c r="A103" s="379" t="s">
        <v>409</v>
      </c>
      <c r="B103" s="459">
        <v>3000</v>
      </c>
      <c r="C103" s="418"/>
      <c r="D103" s="418"/>
      <c r="E103" s="418"/>
      <c r="F103" s="400">
        <v>1</v>
      </c>
      <c r="G103" s="418"/>
      <c r="H103" s="418"/>
      <c r="I103" s="418"/>
      <c r="J103" s="418"/>
      <c r="K103" s="418"/>
      <c r="L103" s="418"/>
      <c r="M103" s="418"/>
      <c r="N103" s="418"/>
      <c r="O103" s="419"/>
      <c r="P103" s="418"/>
      <c r="Q103" s="418"/>
      <c r="R103" s="418"/>
      <c r="S103" s="400">
        <v>1</v>
      </c>
      <c r="T103" s="418"/>
      <c r="U103" s="418"/>
      <c r="V103" s="418"/>
      <c r="W103" s="418"/>
      <c r="X103" s="418"/>
      <c r="Y103" s="418"/>
      <c r="Z103" s="418"/>
      <c r="AA103" s="418"/>
      <c r="AB103" s="420"/>
    </row>
    <row r="104" spans="1:28" x14ac:dyDescent="0.2">
      <c r="A104" s="379" t="s">
        <v>410</v>
      </c>
      <c r="B104" s="459">
        <v>1000</v>
      </c>
      <c r="C104" s="418"/>
      <c r="D104" s="418"/>
      <c r="E104" s="418"/>
      <c r="F104" s="400">
        <v>1</v>
      </c>
      <c r="G104" s="418"/>
      <c r="H104" s="418"/>
      <c r="I104" s="418"/>
      <c r="J104" s="418"/>
      <c r="K104" s="418"/>
      <c r="L104" s="418"/>
      <c r="M104" s="418"/>
      <c r="N104" s="418"/>
      <c r="O104" s="419"/>
      <c r="P104" s="418"/>
      <c r="Q104" s="418"/>
      <c r="R104" s="418"/>
      <c r="S104" s="400">
        <v>1</v>
      </c>
      <c r="T104" s="418"/>
      <c r="U104" s="418"/>
      <c r="V104" s="418"/>
      <c r="W104" s="418"/>
      <c r="X104" s="418"/>
      <c r="Y104" s="418"/>
      <c r="Z104" s="418"/>
      <c r="AA104" s="418"/>
      <c r="AB104" s="420"/>
    </row>
    <row r="105" spans="1:28" x14ac:dyDescent="0.2">
      <c r="A105" s="392" t="s">
        <v>411</v>
      </c>
      <c r="B105" s="36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9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20"/>
    </row>
    <row r="106" spans="1:28" x14ac:dyDescent="0.2">
      <c r="A106" s="379" t="s">
        <v>436</v>
      </c>
      <c r="B106" s="421">
        <v>0.05</v>
      </c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9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20"/>
    </row>
    <row r="107" spans="1:28" x14ac:dyDescent="0.2">
      <c r="A107" s="379" t="s">
        <v>412</v>
      </c>
      <c r="B107" s="459">
        <v>1000</v>
      </c>
      <c r="C107" s="418"/>
      <c r="D107" s="418"/>
      <c r="E107" s="418"/>
      <c r="F107" s="400">
        <v>1</v>
      </c>
      <c r="G107" s="418"/>
      <c r="H107" s="418"/>
      <c r="I107" s="418"/>
      <c r="J107" s="418"/>
      <c r="K107" s="418"/>
      <c r="L107" s="418"/>
      <c r="M107" s="418"/>
      <c r="N107" s="418"/>
      <c r="O107" s="419"/>
      <c r="P107" s="418"/>
      <c r="Q107" s="418"/>
      <c r="R107" s="418"/>
      <c r="S107" s="400">
        <v>1</v>
      </c>
      <c r="T107" s="418"/>
      <c r="U107" s="418"/>
      <c r="V107" s="418"/>
      <c r="W107" s="418"/>
      <c r="X107" s="418"/>
      <c r="Y107" s="418"/>
      <c r="Z107" s="418"/>
      <c r="AA107" s="418"/>
      <c r="AB107" s="420"/>
    </row>
    <row r="108" spans="1:28" x14ac:dyDescent="0.2">
      <c r="A108" s="417" t="s">
        <v>162</v>
      </c>
      <c r="B108" s="459">
        <v>80000</v>
      </c>
      <c r="D108" s="400">
        <v>1</v>
      </c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9"/>
      <c r="P108" s="354"/>
      <c r="Q108" s="400">
        <v>1</v>
      </c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20"/>
    </row>
    <row r="109" spans="1:28" x14ac:dyDescent="0.2">
      <c r="A109" s="417" t="s">
        <v>171</v>
      </c>
      <c r="B109" s="393"/>
      <c r="C109" s="397"/>
      <c r="D109" s="397"/>
      <c r="E109" s="388"/>
      <c r="F109" s="388"/>
      <c r="G109" s="388"/>
      <c r="H109" s="388"/>
      <c r="I109" s="388"/>
      <c r="J109" s="388"/>
      <c r="K109" s="388"/>
      <c r="L109" s="388"/>
      <c r="M109" s="388"/>
      <c r="N109" s="388"/>
      <c r="O109" s="389"/>
      <c r="P109" s="388"/>
      <c r="Q109" s="388"/>
      <c r="R109" s="388"/>
      <c r="S109" s="388"/>
      <c r="T109" s="388"/>
      <c r="U109" s="388"/>
      <c r="V109" s="388"/>
      <c r="W109" s="388"/>
      <c r="X109" s="388"/>
      <c r="Y109" s="388"/>
      <c r="Z109" s="388"/>
      <c r="AA109" s="388"/>
      <c r="AB109" s="390"/>
    </row>
    <row r="110" spans="1:28" x14ac:dyDescent="0.2">
      <c r="A110" s="379" t="s">
        <v>413</v>
      </c>
      <c r="B110" s="459">
        <v>1000</v>
      </c>
      <c r="C110" s="400">
        <v>1</v>
      </c>
      <c r="D110" s="400">
        <v>1</v>
      </c>
      <c r="E110" s="400">
        <v>1</v>
      </c>
      <c r="F110" s="400">
        <v>1</v>
      </c>
      <c r="G110" s="400">
        <v>1</v>
      </c>
      <c r="H110" s="400">
        <v>1</v>
      </c>
      <c r="I110" s="400">
        <v>1</v>
      </c>
      <c r="J110" s="400">
        <v>1</v>
      </c>
      <c r="K110" s="400">
        <v>1</v>
      </c>
      <c r="L110" s="400">
        <v>1</v>
      </c>
      <c r="M110" s="400">
        <v>1</v>
      </c>
      <c r="N110" s="400">
        <v>1</v>
      </c>
      <c r="O110" s="419"/>
      <c r="P110" s="400">
        <v>1</v>
      </c>
      <c r="Q110" s="400">
        <v>1</v>
      </c>
      <c r="R110" s="400">
        <v>1</v>
      </c>
      <c r="S110" s="400">
        <v>1</v>
      </c>
      <c r="T110" s="400">
        <v>1</v>
      </c>
      <c r="U110" s="400">
        <v>1</v>
      </c>
      <c r="V110" s="400">
        <v>1</v>
      </c>
      <c r="W110" s="400">
        <v>1</v>
      </c>
      <c r="X110" s="400">
        <v>1</v>
      </c>
      <c r="Y110" s="400">
        <v>1</v>
      </c>
      <c r="Z110" s="400">
        <v>1</v>
      </c>
      <c r="AA110" s="400">
        <v>1</v>
      </c>
      <c r="AB110" s="420"/>
    </row>
    <row r="111" spans="1:28" s="377" customFormat="1" x14ac:dyDescent="0.2">
      <c r="A111" s="406" t="s">
        <v>414</v>
      </c>
      <c r="B111" s="407">
        <v>24000</v>
      </c>
      <c r="C111" s="402"/>
      <c r="D111" s="402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4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5"/>
    </row>
    <row r="112" spans="1:28" x14ac:dyDescent="0.2">
      <c r="A112" s="379" t="s">
        <v>415</v>
      </c>
      <c r="B112" s="459">
        <v>3500</v>
      </c>
      <c r="C112" s="400">
        <v>1</v>
      </c>
      <c r="D112" s="400">
        <v>1</v>
      </c>
      <c r="E112" s="400">
        <v>1</v>
      </c>
      <c r="F112" s="400">
        <v>1</v>
      </c>
      <c r="G112" s="400">
        <v>1</v>
      </c>
      <c r="H112" s="400">
        <v>1</v>
      </c>
      <c r="I112" s="400">
        <v>1</v>
      </c>
      <c r="J112" s="400">
        <v>1</v>
      </c>
      <c r="K112" s="400">
        <v>1</v>
      </c>
      <c r="L112" s="400">
        <v>1</v>
      </c>
      <c r="M112" s="400">
        <v>1</v>
      </c>
      <c r="N112" s="400">
        <v>1</v>
      </c>
      <c r="O112" s="395"/>
      <c r="P112" s="400">
        <v>1</v>
      </c>
      <c r="Q112" s="400">
        <v>1</v>
      </c>
      <c r="R112" s="400">
        <v>1</v>
      </c>
      <c r="S112" s="400">
        <v>1</v>
      </c>
      <c r="T112" s="400">
        <v>1</v>
      </c>
      <c r="U112" s="400">
        <v>1</v>
      </c>
      <c r="V112" s="400">
        <v>1</v>
      </c>
      <c r="W112" s="400">
        <v>1</v>
      </c>
      <c r="X112" s="400">
        <v>1</v>
      </c>
      <c r="Y112" s="400">
        <v>1</v>
      </c>
      <c r="Z112" s="400">
        <v>1</v>
      </c>
      <c r="AA112" s="400">
        <v>1</v>
      </c>
      <c r="AB112" s="396"/>
    </row>
    <row r="113" spans="1:28" s="377" customFormat="1" x14ac:dyDescent="0.2">
      <c r="A113" s="406" t="s">
        <v>416</v>
      </c>
      <c r="B113" s="407">
        <v>24000</v>
      </c>
      <c r="C113" s="402"/>
      <c r="D113" s="402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4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5"/>
    </row>
    <row r="114" spans="1:28" s="377" customFormat="1" x14ac:dyDescent="0.2">
      <c r="A114" s="406" t="s">
        <v>417</v>
      </c>
      <c r="B114" s="407">
        <v>24000</v>
      </c>
      <c r="C114" s="402"/>
      <c r="D114" s="402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4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5"/>
    </row>
    <row r="115" spans="1:28" x14ac:dyDescent="0.2">
      <c r="A115" s="379" t="s">
        <v>418</v>
      </c>
      <c r="B115" s="459">
        <v>200</v>
      </c>
      <c r="C115" s="400">
        <v>1</v>
      </c>
      <c r="D115" s="400">
        <v>1</v>
      </c>
      <c r="E115" s="400">
        <v>1</v>
      </c>
      <c r="F115" s="400">
        <v>1</v>
      </c>
      <c r="G115" s="400">
        <v>1</v>
      </c>
      <c r="H115" s="400">
        <v>1</v>
      </c>
      <c r="I115" s="400">
        <v>1</v>
      </c>
      <c r="J115" s="400">
        <v>1</v>
      </c>
      <c r="K115" s="400">
        <v>1</v>
      </c>
      <c r="L115" s="400">
        <v>1</v>
      </c>
      <c r="M115" s="400">
        <v>1</v>
      </c>
      <c r="N115" s="400">
        <v>1</v>
      </c>
      <c r="O115" s="419"/>
      <c r="P115" s="400">
        <v>1</v>
      </c>
      <c r="Q115" s="400">
        <v>1</v>
      </c>
      <c r="R115" s="400">
        <v>1</v>
      </c>
      <c r="S115" s="400">
        <v>1</v>
      </c>
      <c r="T115" s="400">
        <v>1</v>
      </c>
      <c r="U115" s="400">
        <v>1</v>
      </c>
      <c r="V115" s="400">
        <v>1</v>
      </c>
      <c r="W115" s="400">
        <v>1</v>
      </c>
      <c r="X115" s="400">
        <v>1</v>
      </c>
      <c r="Y115" s="400">
        <v>1</v>
      </c>
      <c r="Z115" s="400">
        <v>1</v>
      </c>
      <c r="AA115" s="400">
        <v>1</v>
      </c>
      <c r="AB115" s="420"/>
    </row>
    <row r="116" spans="1:28" x14ac:dyDescent="0.2">
      <c r="A116" s="379" t="s">
        <v>419</v>
      </c>
      <c r="B116" s="459">
        <v>200</v>
      </c>
      <c r="C116" s="400">
        <v>1</v>
      </c>
      <c r="D116" s="400">
        <v>1</v>
      </c>
      <c r="E116" s="400">
        <v>1</v>
      </c>
      <c r="F116" s="400">
        <v>1</v>
      </c>
      <c r="G116" s="400">
        <v>1</v>
      </c>
      <c r="H116" s="400">
        <v>1</v>
      </c>
      <c r="I116" s="400">
        <v>1</v>
      </c>
      <c r="J116" s="400">
        <v>1</v>
      </c>
      <c r="K116" s="400">
        <v>1</v>
      </c>
      <c r="L116" s="400">
        <v>1</v>
      </c>
      <c r="M116" s="400">
        <v>1</v>
      </c>
      <c r="N116" s="400">
        <v>1</v>
      </c>
      <c r="O116" s="419"/>
      <c r="P116" s="400">
        <v>1</v>
      </c>
      <c r="Q116" s="400">
        <v>1</v>
      </c>
      <c r="R116" s="400">
        <v>1</v>
      </c>
      <c r="S116" s="400">
        <v>1</v>
      </c>
      <c r="T116" s="400">
        <v>1</v>
      </c>
      <c r="U116" s="400">
        <v>1</v>
      </c>
      <c r="V116" s="400">
        <v>1</v>
      </c>
      <c r="W116" s="400">
        <v>1</v>
      </c>
      <c r="X116" s="400">
        <v>1</v>
      </c>
      <c r="Y116" s="400">
        <v>1</v>
      </c>
      <c r="Z116" s="400">
        <v>1</v>
      </c>
      <c r="AA116" s="400">
        <v>1</v>
      </c>
      <c r="AB116" s="420"/>
    </row>
    <row r="117" spans="1:28" x14ac:dyDescent="0.2">
      <c r="A117" s="379" t="s">
        <v>420</v>
      </c>
      <c r="B117" s="459">
        <v>1000</v>
      </c>
      <c r="C117" s="400">
        <v>1</v>
      </c>
      <c r="D117" s="400">
        <v>1</v>
      </c>
      <c r="E117" s="400">
        <v>1</v>
      </c>
      <c r="F117" s="400">
        <v>1</v>
      </c>
      <c r="G117" s="400">
        <v>1</v>
      </c>
      <c r="H117" s="400">
        <v>1</v>
      </c>
      <c r="I117" s="400">
        <v>1</v>
      </c>
      <c r="J117" s="400">
        <v>1</v>
      </c>
      <c r="K117" s="400">
        <v>1</v>
      </c>
      <c r="L117" s="400">
        <v>1</v>
      </c>
      <c r="M117" s="400">
        <v>1</v>
      </c>
      <c r="N117" s="400">
        <v>1</v>
      </c>
      <c r="O117" s="419"/>
      <c r="P117" s="400">
        <v>1</v>
      </c>
      <c r="Q117" s="400">
        <v>1</v>
      </c>
      <c r="R117" s="400">
        <v>1</v>
      </c>
      <c r="S117" s="400">
        <v>1</v>
      </c>
      <c r="T117" s="400">
        <v>1</v>
      </c>
      <c r="U117" s="400">
        <v>1</v>
      </c>
      <c r="V117" s="400">
        <v>1</v>
      </c>
      <c r="W117" s="400">
        <v>1</v>
      </c>
      <c r="X117" s="400">
        <v>1</v>
      </c>
      <c r="Y117" s="400">
        <v>1</v>
      </c>
      <c r="Z117" s="400">
        <v>1</v>
      </c>
      <c r="AA117" s="400">
        <v>1</v>
      </c>
      <c r="AB117" s="420"/>
    </row>
    <row r="118" spans="1:28" x14ac:dyDescent="0.2">
      <c r="A118" s="379" t="s">
        <v>421</v>
      </c>
      <c r="B118" s="459">
        <v>300</v>
      </c>
      <c r="C118" s="400">
        <f>SUM(Manpower!B5:B8)</f>
        <v>4</v>
      </c>
      <c r="D118" s="400">
        <f>$C$118</f>
        <v>4</v>
      </c>
      <c r="E118" s="400">
        <f t="shared" ref="E118:N118" si="44">$C$118</f>
        <v>4</v>
      </c>
      <c r="F118" s="400">
        <f t="shared" si="44"/>
        <v>4</v>
      </c>
      <c r="G118" s="400">
        <f t="shared" si="44"/>
        <v>4</v>
      </c>
      <c r="H118" s="400">
        <f t="shared" si="44"/>
        <v>4</v>
      </c>
      <c r="I118" s="400">
        <f t="shared" si="44"/>
        <v>4</v>
      </c>
      <c r="J118" s="400">
        <f t="shared" si="44"/>
        <v>4</v>
      </c>
      <c r="K118" s="400">
        <f t="shared" si="44"/>
        <v>4</v>
      </c>
      <c r="L118" s="400">
        <f t="shared" si="44"/>
        <v>4</v>
      </c>
      <c r="M118" s="400">
        <f t="shared" si="44"/>
        <v>4</v>
      </c>
      <c r="N118" s="400">
        <f t="shared" si="44"/>
        <v>4</v>
      </c>
      <c r="O118" s="389"/>
      <c r="P118" s="400">
        <f>SUM(Manpower!C5:C8)</f>
        <v>5</v>
      </c>
      <c r="Q118" s="400">
        <f>$P$118</f>
        <v>5</v>
      </c>
      <c r="R118" s="400">
        <f t="shared" ref="R118:AA118" si="45">$P$118</f>
        <v>5</v>
      </c>
      <c r="S118" s="400">
        <f t="shared" si="45"/>
        <v>5</v>
      </c>
      <c r="T118" s="400">
        <f t="shared" si="45"/>
        <v>5</v>
      </c>
      <c r="U118" s="400">
        <f t="shared" si="45"/>
        <v>5</v>
      </c>
      <c r="V118" s="400">
        <f t="shared" si="45"/>
        <v>5</v>
      </c>
      <c r="W118" s="400">
        <f t="shared" si="45"/>
        <v>5</v>
      </c>
      <c r="X118" s="400">
        <f t="shared" si="45"/>
        <v>5</v>
      </c>
      <c r="Y118" s="400">
        <f t="shared" si="45"/>
        <v>5</v>
      </c>
      <c r="Z118" s="400">
        <f t="shared" si="45"/>
        <v>5</v>
      </c>
      <c r="AA118" s="400">
        <f t="shared" si="45"/>
        <v>5</v>
      </c>
      <c r="AB118" s="390"/>
    </row>
    <row r="119" spans="1:28" x14ac:dyDescent="0.2">
      <c r="A119" s="379" t="s">
        <v>422</v>
      </c>
      <c r="B119" s="459">
        <v>12680</v>
      </c>
      <c r="C119" s="400">
        <v>1</v>
      </c>
      <c r="D119" s="397"/>
      <c r="E119" s="388"/>
      <c r="F119" s="394"/>
      <c r="G119" s="388"/>
      <c r="H119" s="388"/>
      <c r="I119" s="388"/>
      <c r="J119" s="388"/>
      <c r="K119" s="388"/>
      <c r="L119" s="388"/>
      <c r="M119" s="388"/>
      <c r="N119" s="388"/>
      <c r="O119" s="389"/>
      <c r="P119" s="388"/>
      <c r="Q119" s="388"/>
      <c r="R119" s="388"/>
      <c r="S119" s="388"/>
      <c r="T119" s="388"/>
      <c r="U119" s="388"/>
      <c r="V119" s="388"/>
      <c r="W119" s="388"/>
      <c r="X119" s="388"/>
      <c r="Y119" s="388"/>
      <c r="Z119" s="388"/>
      <c r="AA119" s="388"/>
      <c r="AB119" s="390"/>
    </row>
    <row r="120" spans="1:28" x14ac:dyDescent="0.2">
      <c r="A120" s="379" t="s">
        <v>423</v>
      </c>
      <c r="B120" s="459">
        <v>12680</v>
      </c>
      <c r="C120" s="400">
        <v>1</v>
      </c>
      <c r="D120" s="397"/>
      <c r="E120" s="388"/>
      <c r="F120" s="388"/>
      <c r="G120" s="388"/>
      <c r="H120" s="388"/>
      <c r="I120" s="388"/>
      <c r="J120" s="388"/>
      <c r="K120" s="388"/>
      <c r="L120" s="388"/>
      <c r="M120" s="388"/>
      <c r="N120" s="388"/>
      <c r="O120" s="389"/>
      <c r="P120" s="388"/>
      <c r="Q120" s="388"/>
      <c r="R120" s="388"/>
      <c r="S120" s="388"/>
      <c r="T120" s="388"/>
      <c r="U120" s="388"/>
      <c r="V120" s="388"/>
      <c r="W120" s="388"/>
      <c r="X120" s="388"/>
      <c r="Y120" s="388"/>
      <c r="Z120" s="388"/>
      <c r="AA120" s="388"/>
      <c r="AB120" s="390"/>
    </row>
    <row r="121" spans="1:28" x14ac:dyDescent="0.2">
      <c r="A121" s="379" t="s">
        <v>424</v>
      </c>
      <c r="B121" s="459">
        <v>100</v>
      </c>
      <c r="C121" s="400">
        <v>1</v>
      </c>
      <c r="D121" s="400">
        <v>1</v>
      </c>
      <c r="E121" s="400">
        <v>1</v>
      </c>
      <c r="F121" s="400">
        <v>1</v>
      </c>
      <c r="G121" s="400">
        <v>1</v>
      </c>
      <c r="H121" s="400">
        <v>1</v>
      </c>
      <c r="I121" s="400">
        <v>1</v>
      </c>
      <c r="J121" s="400">
        <v>1</v>
      </c>
      <c r="K121" s="400">
        <v>1</v>
      </c>
      <c r="L121" s="400">
        <v>1</v>
      </c>
      <c r="M121" s="400">
        <v>1</v>
      </c>
      <c r="N121" s="400">
        <v>1</v>
      </c>
      <c r="O121" s="419"/>
      <c r="P121" s="400">
        <v>1</v>
      </c>
      <c r="Q121" s="400">
        <v>1</v>
      </c>
      <c r="R121" s="400">
        <v>1</v>
      </c>
      <c r="S121" s="400">
        <v>1</v>
      </c>
      <c r="T121" s="400">
        <v>1</v>
      </c>
      <c r="U121" s="400">
        <v>1</v>
      </c>
      <c r="V121" s="400">
        <v>1</v>
      </c>
      <c r="W121" s="400">
        <v>1</v>
      </c>
      <c r="X121" s="400">
        <v>1</v>
      </c>
      <c r="Y121" s="400">
        <v>1</v>
      </c>
      <c r="Z121" s="400">
        <v>1</v>
      </c>
      <c r="AA121" s="400">
        <v>1</v>
      </c>
      <c r="AB121" s="420"/>
    </row>
    <row r="122" spans="1:28" s="377" customFormat="1" x14ac:dyDescent="0.2">
      <c r="A122" s="406" t="s">
        <v>425</v>
      </c>
      <c r="B122" s="407">
        <v>2000</v>
      </c>
      <c r="C122" s="402"/>
      <c r="D122" s="402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4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405"/>
    </row>
    <row r="123" spans="1:28" x14ac:dyDescent="0.2">
      <c r="A123" s="417" t="s">
        <v>170</v>
      </c>
      <c r="B123" s="375"/>
      <c r="C123" s="397"/>
      <c r="D123" s="397"/>
      <c r="E123" s="388"/>
      <c r="F123" s="388"/>
      <c r="G123" s="388"/>
      <c r="H123" s="388"/>
      <c r="I123" s="388"/>
      <c r="J123" s="388"/>
      <c r="K123" s="388"/>
      <c r="L123" s="388"/>
      <c r="M123" s="388"/>
      <c r="N123" s="388"/>
      <c r="O123" s="389"/>
      <c r="P123" s="388"/>
      <c r="Q123" s="388"/>
      <c r="R123" s="388"/>
      <c r="S123" s="388"/>
      <c r="T123" s="388"/>
      <c r="U123" s="388"/>
      <c r="V123" s="388"/>
      <c r="W123" s="388"/>
      <c r="X123" s="388"/>
      <c r="Y123" s="388"/>
      <c r="Z123" s="388"/>
      <c r="AA123" s="388"/>
      <c r="AB123" s="390"/>
    </row>
    <row r="124" spans="1:28" x14ac:dyDescent="0.2">
      <c r="A124" s="392" t="s">
        <v>426</v>
      </c>
      <c r="B124" s="421">
        <v>0.05</v>
      </c>
      <c r="C124" s="388"/>
      <c r="D124" s="388"/>
      <c r="E124" s="388"/>
      <c r="F124" s="388"/>
      <c r="G124" s="388"/>
      <c r="H124" s="388"/>
      <c r="I124" s="388"/>
      <c r="J124" s="388"/>
      <c r="K124" s="388"/>
      <c r="L124" s="388"/>
      <c r="M124" s="388"/>
      <c r="N124" s="388"/>
      <c r="O124" s="389"/>
      <c r="P124" s="388"/>
      <c r="Q124" s="388"/>
      <c r="R124" s="388"/>
      <c r="S124" s="388"/>
      <c r="T124" s="388"/>
      <c r="U124" s="388"/>
      <c r="V124" s="388"/>
      <c r="W124" s="388"/>
      <c r="X124" s="388"/>
      <c r="Y124" s="388"/>
      <c r="Z124" s="388"/>
      <c r="AA124" s="388"/>
      <c r="AB124" s="390"/>
    </row>
    <row r="125" spans="1:28" x14ac:dyDescent="0.2">
      <c r="A125" s="392" t="s">
        <v>427</v>
      </c>
      <c r="B125" s="421">
        <v>0.05</v>
      </c>
      <c r="C125" s="394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9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20"/>
    </row>
    <row r="126" spans="1:28" ht="12.75" thickBot="1" x14ac:dyDescent="0.25">
      <c r="A126" s="422"/>
      <c r="B126" s="423"/>
      <c r="C126" s="424"/>
      <c r="D126" s="424"/>
      <c r="E126" s="424"/>
      <c r="F126" s="424"/>
      <c r="G126" s="424"/>
      <c r="H126" s="424"/>
      <c r="I126" s="424"/>
      <c r="J126" s="424"/>
      <c r="K126" s="424"/>
      <c r="L126" s="424"/>
      <c r="M126" s="424"/>
      <c r="N126" s="424"/>
      <c r="O126" s="425"/>
      <c r="P126" s="424"/>
      <c r="Q126" s="424"/>
      <c r="R126" s="424"/>
      <c r="S126" s="424"/>
      <c r="T126" s="424"/>
      <c r="U126" s="424"/>
      <c r="V126" s="424"/>
      <c r="W126" s="424"/>
      <c r="X126" s="424"/>
      <c r="Y126" s="424"/>
      <c r="Z126" s="424"/>
      <c r="AA126" s="424"/>
      <c r="AB126" s="426"/>
    </row>
    <row r="127" spans="1:28" x14ac:dyDescent="0.2">
      <c r="A127" s="366"/>
      <c r="B127" s="366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AB127" s="354"/>
    </row>
    <row r="128" spans="1:28" x14ac:dyDescent="0.2">
      <c r="A128" s="330"/>
      <c r="B128" s="330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AB128" s="354"/>
    </row>
    <row r="129" spans="1:28" x14ac:dyDescent="0.2">
      <c r="A129" s="324" t="s">
        <v>437</v>
      </c>
      <c r="B129" s="421">
        <v>0.05</v>
      </c>
      <c r="C129" s="427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AB129" s="354"/>
    </row>
    <row r="130" spans="1:28" x14ac:dyDescent="0.2">
      <c r="A130" s="330"/>
      <c r="B130" s="330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AB130" s="354"/>
    </row>
    <row r="131" spans="1:28" s="355" customFormat="1" x14ac:dyDescent="0.2">
      <c r="A131" s="324"/>
      <c r="B131" s="324"/>
      <c r="C131" s="354"/>
      <c r="D131" s="354"/>
      <c r="E131" s="354"/>
      <c r="F131" s="354"/>
      <c r="G131" s="354"/>
      <c r="S131" s="354"/>
      <c r="T131" s="354"/>
      <c r="U131" s="354"/>
      <c r="V131" s="354"/>
      <c r="W131" s="354"/>
      <c r="X131" s="354"/>
      <c r="Y131" s="354"/>
      <c r="Z131" s="354"/>
      <c r="AA131" s="354"/>
    </row>
    <row r="132" spans="1:28" s="355" customFormat="1" x14ac:dyDescent="0.2">
      <c r="A132" s="330"/>
      <c r="B132" s="330"/>
      <c r="C132" s="354"/>
      <c r="D132" s="354"/>
      <c r="E132" s="354"/>
      <c r="F132" s="354"/>
      <c r="G132" s="354"/>
      <c r="S132" s="354"/>
      <c r="T132" s="354"/>
      <c r="U132" s="354"/>
      <c r="V132" s="354"/>
      <c r="W132" s="354"/>
      <c r="X132" s="354"/>
      <c r="Y132" s="354"/>
      <c r="Z132" s="354"/>
      <c r="AA132" s="354"/>
    </row>
    <row r="133" spans="1:28" s="355" customFormat="1" x14ac:dyDescent="0.2">
      <c r="A133" s="324"/>
      <c r="B133" s="324"/>
      <c r="C133" s="354"/>
      <c r="D133" s="354"/>
      <c r="E133" s="354"/>
      <c r="F133" s="354"/>
      <c r="G133" s="354"/>
      <c r="S133" s="354"/>
      <c r="T133" s="354"/>
      <c r="U133" s="354"/>
      <c r="V133" s="354"/>
      <c r="W133" s="354"/>
      <c r="X133" s="354"/>
      <c r="Y133" s="354"/>
      <c r="Z133" s="354"/>
      <c r="AA133" s="354"/>
    </row>
    <row r="134" spans="1:28" s="355" customFormat="1" x14ac:dyDescent="0.2">
      <c r="A134" s="428"/>
      <c r="B134" s="428"/>
      <c r="C134" s="354"/>
      <c r="D134" s="354"/>
      <c r="E134" s="354"/>
      <c r="F134" s="354"/>
      <c r="G134" s="354"/>
      <c r="S134" s="354"/>
      <c r="T134" s="354"/>
      <c r="U134" s="354"/>
      <c r="V134" s="354"/>
      <c r="W134" s="354"/>
      <c r="X134" s="354"/>
      <c r="Y134" s="354"/>
      <c r="Z134" s="354"/>
      <c r="AA134" s="354"/>
    </row>
    <row r="135" spans="1:28" s="355" customFormat="1" x14ac:dyDescent="0.2">
      <c r="A135" s="428"/>
      <c r="B135" s="428"/>
      <c r="C135" s="354"/>
      <c r="D135" s="354"/>
      <c r="E135" s="354"/>
      <c r="F135" s="354"/>
      <c r="G135" s="354"/>
      <c r="S135" s="354"/>
      <c r="T135" s="354"/>
      <c r="U135" s="354"/>
      <c r="V135" s="354"/>
      <c r="W135" s="354"/>
      <c r="X135" s="354"/>
      <c r="Y135" s="354"/>
      <c r="Z135" s="354"/>
      <c r="AA135" s="354"/>
    </row>
    <row r="136" spans="1:28" s="355" customFormat="1" x14ac:dyDescent="0.2">
      <c r="A136" s="428"/>
      <c r="B136" s="428"/>
      <c r="C136" s="354"/>
      <c r="D136" s="354"/>
      <c r="E136" s="354"/>
      <c r="F136" s="354"/>
      <c r="G136" s="354"/>
      <c r="S136" s="354"/>
      <c r="T136" s="354"/>
      <c r="U136" s="354"/>
      <c r="V136" s="354"/>
      <c r="W136" s="354"/>
      <c r="X136" s="354"/>
      <c r="Y136" s="354"/>
      <c r="Z136" s="354"/>
      <c r="AA136" s="354"/>
    </row>
    <row r="137" spans="1:28" s="355" customFormat="1" x14ac:dyDescent="0.2">
      <c r="A137" s="428"/>
      <c r="B137" s="428"/>
      <c r="C137" s="354"/>
      <c r="D137" s="354"/>
      <c r="E137" s="354"/>
      <c r="F137" s="354"/>
      <c r="G137" s="354"/>
      <c r="S137" s="354"/>
      <c r="T137" s="354"/>
      <c r="U137" s="354"/>
      <c r="V137" s="354"/>
      <c r="W137" s="354"/>
      <c r="X137" s="354"/>
      <c r="Y137" s="354"/>
      <c r="Z137" s="354"/>
      <c r="AA137" s="354"/>
    </row>
    <row r="138" spans="1:28" s="355" customFormat="1" x14ac:dyDescent="0.2">
      <c r="A138" s="428"/>
      <c r="B138" s="428"/>
      <c r="C138" s="354"/>
      <c r="D138" s="354"/>
      <c r="E138" s="354"/>
      <c r="F138" s="354"/>
      <c r="G138" s="354"/>
      <c r="S138" s="354"/>
      <c r="T138" s="354"/>
      <c r="U138" s="354"/>
      <c r="V138" s="354"/>
      <c r="W138" s="354"/>
      <c r="X138" s="354"/>
      <c r="Y138" s="354"/>
      <c r="Z138" s="354"/>
      <c r="AA138" s="354"/>
    </row>
    <row r="139" spans="1:28" s="355" customFormat="1" x14ac:dyDescent="0.2">
      <c r="A139" s="428"/>
      <c r="B139" s="428"/>
      <c r="C139" s="354"/>
      <c r="D139" s="354"/>
      <c r="E139" s="354"/>
      <c r="F139" s="354"/>
      <c r="G139" s="354"/>
      <c r="S139" s="354"/>
      <c r="T139" s="354"/>
      <c r="U139" s="354"/>
      <c r="V139" s="354"/>
      <c r="W139" s="354"/>
      <c r="X139" s="354"/>
      <c r="Y139" s="354"/>
      <c r="Z139" s="354"/>
      <c r="AA139" s="354"/>
    </row>
    <row r="141" spans="1:28" x14ac:dyDescent="0.2">
      <c r="A141" s="366"/>
      <c r="B141" s="366"/>
    </row>
    <row r="142" spans="1:28" x14ac:dyDescent="0.2">
      <c r="A142" s="381"/>
      <c r="B142" s="381"/>
    </row>
    <row r="143" spans="1:28" x14ac:dyDescent="0.2">
      <c r="A143" s="381"/>
      <c r="B143" s="381"/>
    </row>
    <row r="144" spans="1:28" x14ac:dyDescent="0.2">
      <c r="A144" s="381"/>
      <c r="B144" s="381"/>
    </row>
    <row r="145" spans="1:2" x14ac:dyDescent="0.2">
      <c r="A145" s="381"/>
      <c r="B145" s="381"/>
    </row>
    <row r="146" spans="1:2" x14ac:dyDescent="0.2">
      <c r="A146" s="330"/>
      <c r="B146" s="330"/>
    </row>
    <row r="147" spans="1:2" x14ac:dyDescent="0.2">
      <c r="A147" s="330"/>
      <c r="B147" s="330"/>
    </row>
    <row r="148" spans="1:2" x14ac:dyDescent="0.2">
      <c r="A148" s="330"/>
      <c r="B148" s="330"/>
    </row>
    <row r="149" spans="1:2" x14ac:dyDescent="0.2">
      <c r="A149" s="368"/>
      <c r="B149" s="368"/>
    </row>
    <row r="150" spans="1:2" x14ac:dyDescent="0.2">
      <c r="A150" s="366"/>
      <c r="B150" s="366"/>
    </row>
    <row r="151" spans="1:2" x14ac:dyDescent="0.2">
      <c r="A151" s="366"/>
      <c r="B151" s="366"/>
    </row>
    <row r="152" spans="1:2" x14ac:dyDescent="0.2">
      <c r="A152" s="330"/>
      <c r="B152" s="330"/>
    </row>
    <row r="153" spans="1:2" x14ac:dyDescent="0.2">
      <c r="A153" s="368"/>
      <c r="B153" s="368"/>
    </row>
    <row r="154" spans="1:2" x14ac:dyDescent="0.2">
      <c r="A154" s="324"/>
      <c r="B154" s="32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56"/>
  <sheetViews>
    <sheetView topLeftCell="A105" zoomScale="90" zoomScaleNormal="90" workbookViewId="0">
      <selection activeCell="F8" sqref="F8"/>
    </sheetView>
  </sheetViews>
  <sheetFormatPr defaultColWidth="36" defaultRowHeight="12" x14ac:dyDescent="0.2"/>
  <cols>
    <col min="1" max="1" width="36" style="354" customWidth="1"/>
    <col min="2" max="2" width="17" style="354" bestFit="1" customWidth="1"/>
    <col min="3" max="7" width="15.7109375" style="354" customWidth="1"/>
    <col min="8" max="9" width="11" style="355" customWidth="1"/>
    <col min="10" max="27" width="15.7109375" style="355" customWidth="1"/>
    <col min="28" max="255" width="15.7109375" style="354" customWidth="1"/>
    <col min="256" max="16384" width="36" style="354"/>
  </cols>
  <sheetData>
    <row r="1" spans="1:25" ht="15.75" x14ac:dyDescent="0.25">
      <c r="A1" s="462" t="s">
        <v>380</v>
      </c>
    </row>
    <row r="5" spans="1:25" s="356" customFormat="1" ht="24" x14ac:dyDescent="0.2">
      <c r="A5" s="467" t="s">
        <v>381</v>
      </c>
      <c r="B5" s="468"/>
      <c r="C5" s="469">
        <f>Inputs!C7</f>
        <v>40178</v>
      </c>
      <c r="D5" s="469">
        <f>Inputs!D7</f>
        <v>40543</v>
      </c>
      <c r="E5" s="469">
        <f>Inputs!E7</f>
        <v>40908</v>
      </c>
      <c r="F5" s="469">
        <f>Inputs!F7</f>
        <v>41273</v>
      </c>
      <c r="G5" s="470">
        <f>Inputs!G7</f>
        <v>41638</v>
      </c>
      <c r="H5" s="429" t="s">
        <v>438</v>
      </c>
      <c r="I5" s="429" t="s">
        <v>439</v>
      </c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</row>
    <row r="6" spans="1:25" s="355" customFormat="1" x14ac:dyDescent="0.2">
      <c r="A6" s="323" t="str">
        <f>'Expenditure-24mths'!A6</f>
        <v>Manpower</v>
      </c>
      <c r="B6" s="323"/>
      <c r="C6" s="357">
        <f>'Expenditure-24mths'!O6</f>
        <v>830400</v>
      </c>
      <c r="D6" s="357">
        <f>'Expenditure-24mths'!AB6</f>
        <v>1089600</v>
      </c>
      <c r="E6" s="357">
        <f>Manpower!O13</f>
        <v>1947989.2611374997</v>
      </c>
      <c r="F6" s="357">
        <f>Manpower!P13</f>
        <v>2720401.089928593</v>
      </c>
      <c r="G6" s="357">
        <f>Manpower!Q13</f>
        <v>3761297.2699094699</v>
      </c>
      <c r="H6" s="430">
        <f t="shared" ref="H6:H19" si="0">SUM(C6:G6)/SUM($C$61:$G$61)</f>
        <v>0.50366085371861724</v>
      </c>
      <c r="I6" s="431"/>
      <c r="J6" s="431"/>
      <c r="K6" s="431"/>
      <c r="L6" s="431"/>
      <c r="M6" s="431"/>
      <c r="N6" s="376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</row>
    <row r="7" spans="1:25" s="355" customFormat="1" x14ac:dyDescent="0.2">
      <c r="A7" s="323" t="str">
        <f>'Expenditure-24mths'!A7</f>
        <v>Infrastructure</v>
      </c>
      <c r="B7" s="323"/>
      <c r="C7" s="359">
        <f>C9+C13+C18+C23</f>
        <v>47558</v>
      </c>
      <c r="D7" s="359">
        <f>D9+D13+D18+D23</f>
        <v>13458</v>
      </c>
      <c r="E7" s="359">
        <f>E9+E13+E18+E23</f>
        <v>36158</v>
      </c>
      <c r="F7" s="359">
        <f>F9+F13+F18+F23</f>
        <v>62258</v>
      </c>
      <c r="G7" s="359">
        <f>G9+G13+G18+G23</f>
        <v>38108</v>
      </c>
      <c r="H7" s="430">
        <f t="shared" si="0"/>
        <v>9.6131563277266734E-3</v>
      </c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</row>
    <row r="8" spans="1:25" s="364" customFormat="1" x14ac:dyDescent="0.2">
      <c r="A8" s="360" t="str">
        <f>'Expenditure-24mths'!A8</f>
        <v>PP&amp;E</v>
      </c>
      <c r="B8" s="361"/>
      <c r="C8" s="362">
        <f>C9+C13+C18</f>
        <v>32558</v>
      </c>
      <c r="D8" s="362">
        <f>D9+D13+D18</f>
        <v>13458</v>
      </c>
      <c r="E8" s="362">
        <f>E9+E13+E18</f>
        <v>36158</v>
      </c>
      <c r="F8" s="362">
        <f>F9+F13+F18</f>
        <v>32258</v>
      </c>
      <c r="G8" s="362">
        <f>G9+G13+G18</f>
        <v>38108</v>
      </c>
      <c r="H8" s="432">
        <f t="shared" si="0"/>
        <v>7.4232604345015026E-3</v>
      </c>
      <c r="I8" s="433">
        <f>SUM(C8:G8)/SUM(C7:G7)</f>
        <v>0.77219803584084235</v>
      </c>
    </row>
    <row r="9" spans="1:25" s="364" customFormat="1" x14ac:dyDescent="0.2">
      <c r="A9" s="360" t="str">
        <f>'Expenditure-24mths'!A9</f>
        <v>Computer/Electronics</v>
      </c>
      <c r="B9" s="360"/>
      <c r="C9" s="365">
        <f>SUM(C10:C12)</f>
        <v>19300</v>
      </c>
      <c r="D9" s="365">
        <f>SUM(D10:D12)</f>
        <v>4500</v>
      </c>
      <c r="E9" s="365">
        <f>SUM(E10:E12)</f>
        <v>22300</v>
      </c>
      <c r="F9" s="365">
        <f>SUM(F10:F12)</f>
        <v>19300</v>
      </c>
      <c r="G9" s="365">
        <f>SUM(G10:G12)</f>
        <v>23800</v>
      </c>
      <c r="H9" s="432">
        <f t="shared" si="0"/>
        <v>4.3408603039041174E-3</v>
      </c>
      <c r="I9" s="433">
        <f>SUM(C9:G9)/SUM($C$8:$G$8)</f>
        <v>0.58476465189458504</v>
      </c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</row>
    <row r="10" spans="1:25" s="355" customFormat="1" x14ac:dyDescent="0.2">
      <c r="A10" s="366" t="str">
        <f>'Expenditure-24mths'!A10</f>
        <v>Laptop</v>
      </c>
      <c r="B10" s="366"/>
      <c r="C10" s="367">
        <f>'Expenditure-24mths'!O10</f>
        <v>16500</v>
      </c>
      <c r="D10" s="367">
        <f>'Expenditure-24mths'!AB10</f>
        <v>4500</v>
      </c>
      <c r="E10" s="367">
        <f t="shared" ref="E10:G12" si="1">$B69*E69</f>
        <v>19500</v>
      </c>
      <c r="F10" s="367">
        <f t="shared" si="1"/>
        <v>16500</v>
      </c>
      <c r="G10" s="367">
        <f t="shared" si="1"/>
        <v>21000</v>
      </c>
      <c r="H10" s="434">
        <f t="shared" si="0"/>
        <v>3.7958195482569635E-3</v>
      </c>
      <c r="I10" s="435">
        <f>SUM(C10:G10)/SUM($C$9:$G$9)</f>
        <v>0.87443946188340804</v>
      </c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</row>
    <row r="11" spans="1:25" s="355" customFormat="1" x14ac:dyDescent="0.2">
      <c r="A11" s="366" t="str">
        <f>'Expenditure-24mths'!A11</f>
        <v>Printer</v>
      </c>
      <c r="B11" s="366"/>
      <c r="C11" s="367">
        <f>'Expenditure-24mths'!O11</f>
        <v>1800</v>
      </c>
      <c r="D11" s="367">
        <f>'Expenditure-24mths'!AB11</f>
        <v>0</v>
      </c>
      <c r="E11" s="367">
        <f t="shared" si="1"/>
        <v>1800</v>
      </c>
      <c r="F11" s="367">
        <f t="shared" si="1"/>
        <v>1800</v>
      </c>
      <c r="G11" s="367">
        <f t="shared" si="1"/>
        <v>1800</v>
      </c>
      <c r="H11" s="434">
        <f t="shared" si="0"/>
        <v>3.503833429160274E-4</v>
      </c>
      <c r="I11" s="435">
        <f>SUM(C11:G11)/SUM($C$9:$G$9)</f>
        <v>8.0717488789237665E-2</v>
      </c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</row>
    <row r="12" spans="1:25" s="355" customFormat="1" x14ac:dyDescent="0.2">
      <c r="A12" s="366" t="str">
        <f>'Expenditure-24mths'!A12</f>
        <v>Projector</v>
      </c>
      <c r="B12" s="366"/>
      <c r="C12" s="367">
        <f>'Expenditure-24mths'!O12</f>
        <v>1000</v>
      </c>
      <c r="D12" s="367">
        <f>'Expenditure-24mths'!AB12</f>
        <v>0</v>
      </c>
      <c r="E12" s="367">
        <f t="shared" si="1"/>
        <v>1000</v>
      </c>
      <c r="F12" s="367">
        <f t="shared" si="1"/>
        <v>1000</v>
      </c>
      <c r="G12" s="367">
        <f t="shared" si="1"/>
        <v>1000</v>
      </c>
      <c r="H12" s="434">
        <f t="shared" si="0"/>
        <v>1.9465741273112631E-4</v>
      </c>
      <c r="I12" s="435">
        <f>SUM(C12:G12)/SUM($C$9:$G$9)</f>
        <v>4.4843049327354258E-2</v>
      </c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</row>
    <row r="13" spans="1:25" s="364" customFormat="1" x14ac:dyDescent="0.2">
      <c r="A13" s="360" t="str">
        <f>'Expenditure-24mths'!A13</f>
        <v>Furniture &amp; fittings</v>
      </c>
      <c r="B13" s="360"/>
      <c r="C13" s="362">
        <f>SUM(C14:C17)</f>
        <v>5650</v>
      </c>
      <c r="D13" s="362">
        <f>SUM(D14:D17)</f>
        <v>1350</v>
      </c>
      <c r="E13" s="362">
        <f>SUM(E14:E17)</f>
        <v>6250</v>
      </c>
      <c r="F13" s="362">
        <f>SUM(F14:F17)</f>
        <v>5350</v>
      </c>
      <c r="G13" s="362">
        <f>SUM(G14:G17)</f>
        <v>6700</v>
      </c>
      <c r="H13" s="432">
        <f t="shared" si="0"/>
        <v>1.231208135524374E-3</v>
      </c>
      <c r="I13" s="433">
        <f>SUM(C13:G13)/SUM($C$8:$G$8)</f>
        <v>0.16585813557099777</v>
      </c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</row>
    <row r="14" spans="1:25" s="355" customFormat="1" x14ac:dyDescent="0.2">
      <c r="A14" s="366" t="str">
        <f>'Expenditure-24mths'!A14</f>
        <v>Office desk</v>
      </c>
      <c r="B14" s="366"/>
      <c r="C14" s="367">
        <f>'Expenditure-24mths'!O14</f>
        <v>2750</v>
      </c>
      <c r="D14" s="367">
        <f>'Expenditure-24mths'!AB14</f>
        <v>750</v>
      </c>
      <c r="E14" s="367">
        <f t="shared" ref="E14:G17" si="2">$B73*E73</f>
        <v>3250</v>
      </c>
      <c r="F14" s="367">
        <f t="shared" si="2"/>
        <v>2750</v>
      </c>
      <c r="G14" s="367">
        <f t="shared" si="2"/>
        <v>3500</v>
      </c>
      <c r="H14" s="434">
        <f t="shared" si="0"/>
        <v>6.326365913761605E-4</v>
      </c>
      <c r="I14" s="435">
        <f>SUM(C14:G14)/SUM($C$13:$G$13)</f>
        <v>0.51383399209486169</v>
      </c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</row>
    <row r="15" spans="1:25" s="355" customFormat="1" x14ac:dyDescent="0.2">
      <c r="A15" s="366" t="str">
        <f>'Expenditure-24mths'!A15</f>
        <v>Filling cabinet</v>
      </c>
      <c r="B15" s="366"/>
      <c r="C15" s="367">
        <f>'Expenditure-24mths'!O15</f>
        <v>300</v>
      </c>
      <c r="D15" s="367">
        <f>'Expenditure-24mths'!AB15</f>
        <v>0</v>
      </c>
      <c r="E15" s="367">
        <f t="shared" si="2"/>
        <v>300</v>
      </c>
      <c r="F15" s="367">
        <f t="shared" si="2"/>
        <v>300</v>
      </c>
      <c r="G15" s="367">
        <f t="shared" si="2"/>
        <v>300</v>
      </c>
      <c r="H15" s="434">
        <f t="shared" si="0"/>
        <v>5.8397223819337897E-5</v>
      </c>
      <c r="I15" s="435">
        <f>SUM(C15:G15)/SUM($C$13:$G$13)</f>
        <v>4.7430830039525688E-2</v>
      </c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</row>
    <row r="16" spans="1:25" s="355" customFormat="1" x14ac:dyDescent="0.2">
      <c r="A16" s="366" t="str">
        <f>'Expenditure-24mths'!A16</f>
        <v>Office chair</v>
      </c>
      <c r="B16" s="366"/>
      <c r="C16" s="367">
        <f>'Expenditure-24mths'!O16</f>
        <v>2200</v>
      </c>
      <c r="D16" s="367">
        <f>'Expenditure-24mths'!AB16</f>
        <v>600</v>
      </c>
      <c r="E16" s="367">
        <f t="shared" si="2"/>
        <v>2600</v>
      </c>
      <c r="F16" s="367">
        <f t="shared" si="2"/>
        <v>2200</v>
      </c>
      <c r="G16" s="367">
        <f t="shared" si="2"/>
        <v>2800</v>
      </c>
      <c r="H16" s="434">
        <f t="shared" si="0"/>
        <v>5.061092731009284E-4</v>
      </c>
      <c r="I16" s="435">
        <f>SUM(C16:G16)/SUM($C$13:$G$13)</f>
        <v>0.41106719367588934</v>
      </c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</row>
    <row r="17" spans="1:27" s="355" customFormat="1" x14ac:dyDescent="0.2">
      <c r="A17" s="366" t="str">
        <f>'Expenditure-24mths'!A17</f>
        <v>Phone</v>
      </c>
      <c r="B17" s="366"/>
      <c r="C17" s="367">
        <f>'Expenditure-24mths'!O17</f>
        <v>400</v>
      </c>
      <c r="D17" s="367">
        <f>'Expenditure-24mths'!AB17</f>
        <v>0</v>
      </c>
      <c r="E17" s="367">
        <f t="shared" si="2"/>
        <v>100</v>
      </c>
      <c r="F17" s="367">
        <f t="shared" si="2"/>
        <v>100</v>
      </c>
      <c r="G17" s="367">
        <f t="shared" si="2"/>
        <v>100</v>
      </c>
      <c r="H17" s="434">
        <f t="shared" si="0"/>
        <v>3.4065047227947105E-5</v>
      </c>
      <c r="I17" s="435">
        <f>SUM(C17:G17)/SUM($C$13:$G$13)</f>
        <v>2.766798418972332E-2</v>
      </c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</row>
    <row r="18" spans="1:27" s="364" customFormat="1" x14ac:dyDescent="0.2">
      <c r="A18" s="360" t="str">
        <f>'Expenditure-24mths'!A18</f>
        <v>Equipment &amp; tools</v>
      </c>
      <c r="B18" s="360"/>
      <c r="C18" s="362">
        <f>C19</f>
        <v>7608</v>
      </c>
      <c r="D18" s="362">
        <f>D19</f>
        <v>7608</v>
      </c>
      <c r="E18" s="362">
        <f>E19</f>
        <v>7608</v>
      </c>
      <c r="F18" s="362">
        <f>F19</f>
        <v>7608</v>
      </c>
      <c r="G18" s="362">
        <f>G19</f>
        <v>7608</v>
      </c>
      <c r="H18" s="432">
        <f t="shared" si="0"/>
        <v>1.8511919950730113E-3</v>
      </c>
      <c r="I18" s="433">
        <f>SUM(C18:G18)/SUM($C$8:$G$8)</f>
        <v>0.24937721253441719</v>
      </c>
    </row>
    <row r="19" spans="1:27" x14ac:dyDescent="0.2">
      <c r="A19" s="366" t="str">
        <f>'Expenditure-24mths'!A19</f>
        <v>Server</v>
      </c>
      <c r="B19" s="368"/>
      <c r="C19" s="367">
        <f>'Expenditure-24mths'!O19</f>
        <v>7608</v>
      </c>
      <c r="D19" s="367">
        <f>'Expenditure-24mths'!AB19</f>
        <v>7608</v>
      </c>
      <c r="E19" s="367">
        <f>$B78*E78</f>
        <v>7608</v>
      </c>
      <c r="F19" s="367">
        <f>$B78*F78</f>
        <v>7608</v>
      </c>
      <c r="G19" s="367">
        <f>$B78*G78</f>
        <v>7608</v>
      </c>
      <c r="H19" s="434">
        <f t="shared" si="0"/>
        <v>1.8511919950730113E-3</v>
      </c>
      <c r="I19" s="435">
        <f>SUM(C19:G19)/SUM($C$18:$G$18)</f>
        <v>1</v>
      </c>
    </row>
    <row r="20" spans="1:27" s="371" customFormat="1" x14ac:dyDescent="0.2">
      <c r="A20" s="369" t="str">
        <f>'Expenditure-24mths'!A20</f>
        <v>Lab furniture &amp; fittings</v>
      </c>
      <c r="B20" s="369"/>
      <c r="C20" s="370"/>
      <c r="H20" s="436"/>
      <c r="I20" s="437"/>
    </row>
    <row r="21" spans="1:27" s="371" customFormat="1" x14ac:dyDescent="0.2">
      <c r="A21" s="372" t="str">
        <f>'Expenditure-24mths'!A21</f>
        <v>Work bench</v>
      </c>
      <c r="B21" s="372"/>
      <c r="C21" s="370"/>
      <c r="H21" s="436"/>
      <c r="I21" s="437"/>
    </row>
    <row r="22" spans="1:27" s="371" customFormat="1" x14ac:dyDescent="0.2">
      <c r="A22" s="372" t="str">
        <f>'Expenditure-24mths'!A22</f>
        <v>Lab chair</v>
      </c>
      <c r="B22" s="372"/>
      <c r="C22" s="370"/>
      <c r="H22" s="436"/>
      <c r="I22" s="437"/>
    </row>
    <row r="23" spans="1:27" s="374" customFormat="1" x14ac:dyDescent="0.2">
      <c r="A23" s="360" t="str">
        <f>'Expenditure-24mths'!A23</f>
        <v>Other expense</v>
      </c>
      <c r="B23" s="373"/>
      <c r="C23" s="362">
        <f>C24</f>
        <v>15000</v>
      </c>
      <c r="D23" s="362">
        <f>D24</f>
        <v>0</v>
      </c>
      <c r="E23" s="362">
        <f>E24</f>
        <v>0</v>
      </c>
      <c r="F23" s="362">
        <f>F24</f>
        <v>30000</v>
      </c>
      <c r="G23" s="362">
        <f>G24</f>
        <v>0</v>
      </c>
      <c r="H23" s="432">
        <f t="shared" ref="H23:H31" si="3">SUM(C23:G23)/SUM($C$61:$G$61)</f>
        <v>2.1898958932251712E-3</v>
      </c>
      <c r="I23" s="433">
        <f>SUM(C23:G23)/SUM($C$7:$G$7)</f>
        <v>0.22780196415915763</v>
      </c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4"/>
      <c r="AA23" s="364"/>
    </row>
    <row r="24" spans="1:27" x14ac:dyDescent="0.2">
      <c r="A24" s="366" t="str">
        <f>'Expenditure-24mths'!A24</f>
        <v>Renovation</v>
      </c>
      <c r="B24" s="366"/>
      <c r="C24" s="367">
        <f>'Expenditure-24mths'!O24</f>
        <v>15000</v>
      </c>
      <c r="D24" s="367">
        <f>'Expenditure-24mths'!AB24</f>
        <v>0</v>
      </c>
      <c r="E24" s="367">
        <f>$B83*E83</f>
        <v>0</v>
      </c>
      <c r="F24" s="367">
        <f>$B83*F83</f>
        <v>30000</v>
      </c>
      <c r="G24" s="367">
        <f>$B83*G83</f>
        <v>0</v>
      </c>
      <c r="H24" s="434">
        <f t="shared" si="3"/>
        <v>2.1898958932251712E-3</v>
      </c>
      <c r="I24" s="435">
        <f>SUM(C24:G24)/SUM($C$18:$G$18)</f>
        <v>1.1829652996845426</v>
      </c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</row>
    <row r="25" spans="1:27" x14ac:dyDescent="0.2">
      <c r="A25" s="375" t="str">
        <f>'Expenditure-24mths'!A25</f>
        <v>Professional services</v>
      </c>
      <c r="B25" s="375"/>
      <c r="C25" s="376">
        <f>SUM(C26:C31)</f>
        <v>37700</v>
      </c>
      <c r="D25" s="376">
        <f>SUM(D26:D31)</f>
        <v>37000</v>
      </c>
      <c r="E25" s="376">
        <f>SUM(E26:E31)</f>
        <v>51500</v>
      </c>
      <c r="F25" s="376">
        <f>SUM(F26:F31)</f>
        <v>86000</v>
      </c>
      <c r="G25" s="376">
        <f>SUM(G26:G31)</f>
        <v>61500</v>
      </c>
      <c r="H25" s="430">
        <f t="shared" si="3"/>
        <v>1.3319433466127319E-2</v>
      </c>
      <c r="I25" s="435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</row>
    <row r="26" spans="1:27" x14ac:dyDescent="0.2">
      <c r="A26" s="368" t="str">
        <f>'Expenditure-24mths'!A26</f>
        <v>Legal Fee</v>
      </c>
      <c r="B26" s="368"/>
      <c r="C26" s="367">
        <f>'Expenditure-24mths'!O26</f>
        <v>20000</v>
      </c>
      <c r="D26" s="367">
        <f>'Expenditure-24mths'!AB26</f>
        <v>20000</v>
      </c>
      <c r="E26" s="367">
        <f>$B85*E85</f>
        <v>20000</v>
      </c>
      <c r="F26" s="367">
        <f>$B85*F85</f>
        <v>20000</v>
      </c>
      <c r="G26" s="367">
        <f>$B85*G85</f>
        <v>20000</v>
      </c>
      <c r="H26" s="434">
        <f t="shared" si="3"/>
        <v>4.8664353182781579E-3</v>
      </c>
      <c r="I26" s="435">
        <f t="shared" ref="I26:I31" si="4">SUM(C26:G26)/SUM($C$25:$G$25)</f>
        <v>0.36536353671903543</v>
      </c>
      <c r="J26" s="367"/>
      <c r="K26" s="367"/>
      <c r="L26" s="367"/>
      <c r="M26" s="367"/>
    </row>
    <row r="27" spans="1:27" x14ac:dyDescent="0.2">
      <c r="A27" s="368" t="str">
        <f>'Expenditure-24mths'!A27</f>
        <v>Patent application fee</v>
      </c>
      <c r="B27" s="368"/>
      <c r="C27" s="367">
        <f>'Expenditure-24mths'!O27</f>
        <v>1700</v>
      </c>
      <c r="D27" s="367">
        <f>'Expenditure-24mths'!AB27</f>
        <v>0</v>
      </c>
      <c r="E27" s="367">
        <f>($B87*E87)+($B88*E88)+($B89*E89)+($B90*E90)+($B91*E91)+($B92*E92)</f>
        <v>8000</v>
      </c>
      <c r="F27" s="367">
        <f>($B87*F87)+($B88*F88)+($B89*F89)+($B90*F90)+($B91*F91)+($B92*F92)</f>
        <v>34000</v>
      </c>
      <c r="G27" s="367">
        <f>($B87*G87)+($B88*G88)+($B89*G89)+($B90*G90)+($B91*G91)+($B92*G92)</f>
        <v>0</v>
      </c>
      <c r="H27" s="434">
        <f t="shared" si="3"/>
        <v>2.1266322340875552E-3</v>
      </c>
      <c r="I27" s="435">
        <f t="shared" si="4"/>
        <v>0.15966386554621848</v>
      </c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</row>
    <row r="28" spans="1:27" x14ac:dyDescent="0.2">
      <c r="A28" s="368" t="str">
        <f>'Expenditure-24mths'!A28</f>
        <v>Patent maintenance fee</v>
      </c>
      <c r="B28" s="368"/>
      <c r="C28" s="367">
        <f>'Expenditure-24mths'!O28</f>
        <v>0</v>
      </c>
      <c r="D28" s="367">
        <f>'Expenditure-24mths'!AB28</f>
        <v>1000</v>
      </c>
      <c r="E28" s="367">
        <f>$B93*E93</f>
        <v>0</v>
      </c>
      <c r="F28" s="367">
        <f>$B93*F93</f>
        <v>1000</v>
      </c>
      <c r="G28" s="367">
        <f>$B93*G93</f>
        <v>3000</v>
      </c>
      <c r="H28" s="434">
        <f t="shared" si="3"/>
        <v>2.4332176591390791E-4</v>
      </c>
      <c r="I28" s="435">
        <f t="shared" si="4"/>
        <v>1.8268176835951774E-2</v>
      </c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</row>
    <row r="29" spans="1:27" x14ac:dyDescent="0.2">
      <c r="A29" s="368" t="str">
        <f>'Expenditure-24mths'!A29</f>
        <v>Accounting &amp; audit fee</v>
      </c>
      <c r="B29" s="368"/>
      <c r="C29" s="367">
        <f>'Expenditure-24mths'!O29</f>
        <v>2500</v>
      </c>
      <c r="D29" s="367">
        <f>'Expenditure-24mths'!AB29</f>
        <v>2500</v>
      </c>
      <c r="E29" s="367">
        <f>ROUNDUP(D29*E94,-2)</f>
        <v>2500</v>
      </c>
      <c r="F29" s="367">
        <f>ROUNDUP(E29*F94,-2)</f>
        <v>2500</v>
      </c>
      <c r="G29" s="367">
        <f>ROUNDUP(F29*G94,-2)</f>
        <v>2500</v>
      </c>
      <c r="H29" s="434">
        <f t="shared" si="3"/>
        <v>6.0830441478476973E-4</v>
      </c>
      <c r="I29" s="435">
        <f t="shared" si="4"/>
        <v>4.5670442089879429E-2</v>
      </c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</row>
    <row r="30" spans="1:27" x14ac:dyDescent="0.2">
      <c r="A30" s="368" t="str">
        <f>'Expenditure-24mths'!A30</f>
        <v>Consulting</v>
      </c>
      <c r="B30" s="368"/>
      <c r="C30" s="367">
        <f>'Expenditure-24mths'!O30</f>
        <v>6000</v>
      </c>
      <c r="D30" s="367">
        <f>'Expenditure-24mths'!AB30</f>
        <v>6000</v>
      </c>
      <c r="E30" s="367">
        <f>ROUNDUP(B95*E95,-2)</f>
        <v>6000</v>
      </c>
      <c r="F30" s="367">
        <f>ROUNDUP(E30*F95,-2)</f>
        <v>6000</v>
      </c>
      <c r="G30" s="367">
        <f>ROUNDUP(F30*G95,-2)</f>
        <v>6000</v>
      </c>
      <c r="H30" s="434">
        <f t="shared" si="3"/>
        <v>1.4599305954834474E-3</v>
      </c>
      <c r="I30" s="435">
        <f t="shared" si="4"/>
        <v>0.10960906101571063</v>
      </c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</row>
    <row r="31" spans="1:27" x14ac:dyDescent="0.2">
      <c r="A31" s="368" t="str">
        <f>'Expenditure-24mths'!A31</f>
        <v>Insurance</v>
      </c>
      <c r="B31" s="368"/>
      <c r="C31" s="367">
        <f>'Expenditure-24mths'!O31</f>
        <v>7500</v>
      </c>
      <c r="D31" s="367">
        <f>'Expenditure-24mths'!AB31</f>
        <v>7500</v>
      </c>
      <c r="E31" s="367">
        <f>$B96*E96</f>
        <v>15000</v>
      </c>
      <c r="F31" s="367">
        <f>$B96*F96</f>
        <v>22500</v>
      </c>
      <c r="G31" s="367">
        <f>$B96*G96</f>
        <v>30000</v>
      </c>
      <c r="H31" s="434">
        <f t="shared" si="3"/>
        <v>4.0148091375794802E-3</v>
      </c>
      <c r="I31" s="435">
        <f t="shared" si="4"/>
        <v>0.30142491779320424</v>
      </c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</row>
    <row r="32" spans="1:27" s="377" customFormat="1" x14ac:dyDescent="0.2">
      <c r="A32" s="369" t="str">
        <f>'Expenditure-24mths'!A32</f>
        <v>Regulatory application</v>
      </c>
      <c r="B32" s="369"/>
      <c r="C32" s="370"/>
      <c r="D32" s="371"/>
      <c r="E32" s="371"/>
      <c r="F32" s="371"/>
      <c r="G32" s="371"/>
      <c r="H32" s="436"/>
      <c r="I32" s="437">
        <f>SUM(C32:H32)/SUM($C$25:$H$25)</f>
        <v>0</v>
      </c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</row>
    <row r="33" spans="1:27" x14ac:dyDescent="0.2">
      <c r="A33" s="375" t="str">
        <f>'Expenditure-24mths'!A33</f>
        <v>Marketing and BizDev</v>
      </c>
      <c r="B33" s="375"/>
      <c r="C33" s="378">
        <f>SUM(C34:C42)</f>
        <v>52000</v>
      </c>
      <c r="D33" s="378">
        <f>SUM(D34:D42)</f>
        <v>111000</v>
      </c>
      <c r="E33" s="378">
        <f>SUM(E34:E42)</f>
        <v>214000</v>
      </c>
      <c r="F33" s="378">
        <f>SUM(F34:F42)</f>
        <v>591400</v>
      </c>
      <c r="G33" s="378">
        <f>SUM(G34:G42)</f>
        <v>1886700</v>
      </c>
      <c r="H33" s="430">
        <f>SUM(C33:G33)/SUM($C$61:$G$61)</f>
        <v>0.1389415947721597</v>
      </c>
      <c r="I33" s="435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</row>
    <row r="34" spans="1:27" x14ac:dyDescent="0.2">
      <c r="A34" s="368" t="str">
        <f>'Expenditure-24mths'!A34</f>
        <v>Sales &amp; marketing expenses</v>
      </c>
      <c r="B34" s="368"/>
      <c r="C34" s="367"/>
      <c r="D34" s="367"/>
      <c r="E34" s="367"/>
      <c r="F34" s="367"/>
      <c r="G34" s="367"/>
      <c r="H34" s="434"/>
      <c r="I34" s="435">
        <f>SUM(C34:G34)/SUM($C$33:$G$33)</f>
        <v>0</v>
      </c>
      <c r="J34" s="438"/>
      <c r="K34" s="367"/>
      <c r="L34" s="367"/>
      <c r="M34" s="367"/>
      <c r="N34" s="367"/>
      <c r="O34" s="367"/>
      <c r="P34" s="367"/>
      <c r="Q34" s="367"/>
      <c r="R34" s="367"/>
      <c r="S34" s="367"/>
      <c r="T34" s="367"/>
      <c r="U34" s="367"/>
      <c r="V34" s="367"/>
      <c r="W34" s="367"/>
      <c r="X34" s="367"/>
      <c r="Y34" s="367"/>
    </row>
    <row r="35" spans="1:27" x14ac:dyDescent="0.2">
      <c r="A35" s="379" t="str">
        <f>'Expenditure-24mths'!A35</f>
        <v>Partnership Development</v>
      </c>
      <c r="B35" s="368"/>
      <c r="C35" s="367">
        <f>'Expenditure-24mths'!O35</f>
        <v>15000</v>
      </c>
      <c r="D35" s="367">
        <f>'Expenditure-24mths'!AB35</f>
        <v>15000</v>
      </c>
      <c r="E35" s="367">
        <f>$B100*E100</f>
        <v>30000</v>
      </c>
      <c r="F35" s="367">
        <f t="shared" ref="F35:G39" si="5">$B100*F100</f>
        <v>30000</v>
      </c>
      <c r="G35" s="367">
        <f t="shared" si="5"/>
        <v>45000</v>
      </c>
      <c r="H35" s="434">
        <f>SUM(C35:G35)/SUM($C$61:$G$61)</f>
        <v>6.5696876796755132E-3</v>
      </c>
      <c r="I35" s="435">
        <f t="shared" ref="I35:I42" si="6">SUM(C35:G35)/SUM($C$33:$G$33)</f>
        <v>4.7283807922664706E-2</v>
      </c>
      <c r="J35" s="438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</row>
    <row r="36" spans="1:27" x14ac:dyDescent="0.2">
      <c r="A36" s="379" t="str">
        <f>'Expenditure-24mths'!A36</f>
        <v>General</v>
      </c>
      <c r="B36" s="368"/>
      <c r="C36" s="367">
        <f>'Expenditure-24mths'!O36</f>
        <v>7000</v>
      </c>
      <c r="D36" s="367">
        <f>'Expenditure-24mths'!AB36</f>
        <v>7000</v>
      </c>
      <c r="E36" s="367">
        <f>$B101*E101</f>
        <v>14000</v>
      </c>
      <c r="F36" s="367">
        <f t="shared" si="5"/>
        <v>14000</v>
      </c>
      <c r="G36" s="367">
        <f t="shared" si="5"/>
        <v>21000</v>
      </c>
      <c r="H36" s="434">
        <f>SUM(C36:G36)/SUM($C$61:$G$61)</f>
        <v>3.0658542505152394E-3</v>
      </c>
      <c r="I36" s="435">
        <f t="shared" si="6"/>
        <v>2.2065777030576862E-2</v>
      </c>
      <c r="J36" s="438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</row>
    <row r="37" spans="1:27" x14ac:dyDescent="0.2">
      <c r="A37" s="368" t="str">
        <f>'Expenditure-24mths'!A37</f>
        <v>Advertising</v>
      </c>
      <c r="B37" s="368"/>
      <c r="C37" s="380"/>
      <c r="D37" s="380"/>
      <c r="E37" s="380"/>
      <c r="F37" s="380"/>
      <c r="G37" s="380"/>
      <c r="H37" s="434">
        <f t="shared" ref="H37:H45" si="7">SUM(C37:G37)/SUM($C$61:$G$61)</f>
        <v>0</v>
      </c>
      <c r="I37" s="435">
        <f t="shared" si="6"/>
        <v>0</v>
      </c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</row>
    <row r="38" spans="1:27" x14ac:dyDescent="0.2">
      <c r="A38" s="366" t="str">
        <f>'Expenditure-24mths'!A38</f>
        <v>Tradeshow</v>
      </c>
      <c r="B38" s="368"/>
      <c r="C38" s="367">
        <f>'Expenditure-24mths'!O38</f>
        <v>3000</v>
      </c>
      <c r="D38" s="367">
        <f>'Expenditure-24mths'!AB38</f>
        <v>3000</v>
      </c>
      <c r="E38" s="367">
        <f>$B103*E103</f>
        <v>6000</v>
      </c>
      <c r="F38" s="367">
        <f t="shared" si="5"/>
        <v>6000</v>
      </c>
      <c r="G38" s="367">
        <f t="shared" si="5"/>
        <v>9000</v>
      </c>
      <c r="H38" s="434">
        <f t="shared" si="7"/>
        <v>1.3139375359351028E-3</v>
      </c>
      <c r="I38" s="435">
        <f t="shared" si="6"/>
        <v>9.4567615845329404E-3</v>
      </c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</row>
    <row r="39" spans="1:27" x14ac:dyDescent="0.2">
      <c r="A39" s="366" t="str">
        <f>'Expenditure-24mths'!A39</f>
        <v>Print</v>
      </c>
      <c r="B39" s="366"/>
      <c r="C39" s="367">
        <f>'Expenditure-24mths'!O39</f>
        <v>1000</v>
      </c>
      <c r="D39" s="367">
        <f>'Expenditure-24mths'!AB39</f>
        <v>1000</v>
      </c>
      <c r="E39" s="367">
        <f>$B104*E104</f>
        <v>2000</v>
      </c>
      <c r="F39" s="367">
        <f t="shared" si="5"/>
        <v>2000</v>
      </c>
      <c r="G39" s="367">
        <f t="shared" si="5"/>
        <v>3000</v>
      </c>
      <c r="H39" s="434">
        <f t="shared" si="7"/>
        <v>4.3797917864503422E-4</v>
      </c>
      <c r="I39" s="435">
        <f t="shared" si="6"/>
        <v>3.1522538615109804E-3</v>
      </c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7"/>
      <c r="Y39" s="367"/>
    </row>
    <row r="40" spans="1:27" x14ac:dyDescent="0.2">
      <c r="A40" s="368" t="str">
        <f>'Expenditure-24mths'!A40</f>
        <v>Online</v>
      </c>
      <c r="B40" s="366"/>
      <c r="C40" s="380"/>
      <c r="D40" s="380"/>
      <c r="E40" s="380"/>
      <c r="F40" s="380"/>
      <c r="G40" s="380"/>
      <c r="H40" s="434">
        <f t="shared" si="7"/>
        <v>0</v>
      </c>
      <c r="I40" s="435">
        <f t="shared" si="6"/>
        <v>0</v>
      </c>
      <c r="J40" s="435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0"/>
    </row>
    <row r="41" spans="1:27" s="355" customFormat="1" x14ac:dyDescent="0.2">
      <c r="A41" s="366" t="str">
        <f>'Expenditure-24mths'!A41</f>
        <v>Social Media Marketing</v>
      </c>
      <c r="B41" s="381"/>
      <c r="C41" s="367">
        <f>'Expenditure-24mths'!O41</f>
        <v>25000</v>
      </c>
      <c r="D41" s="367">
        <f>'Expenditure-24mths'!AB41</f>
        <v>84000</v>
      </c>
      <c r="E41" s="367">
        <f>ROUNDUP($B106*Revenue!D36,-2)</f>
        <v>160000</v>
      </c>
      <c r="F41" s="367">
        <f>ROUNDUP($B106*Revenue!E36,-2)</f>
        <v>537400</v>
      </c>
      <c r="G41" s="367">
        <f>ROUNDUP($B106*Revenue!F36,-2)</f>
        <v>1805700</v>
      </c>
      <c r="H41" s="434">
        <f t="shared" si="7"/>
        <v>0.12711615694874376</v>
      </c>
      <c r="I41" s="435">
        <f t="shared" si="6"/>
        <v>0.91488914573920355</v>
      </c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</row>
    <row r="42" spans="1:27" x14ac:dyDescent="0.2">
      <c r="A42" s="366" t="str">
        <f>'Expenditure-24mths'!A42</f>
        <v>Banner add/website</v>
      </c>
      <c r="B42" s="381"/>
      <c r="C42" s="367">
        <f>'Expenditure-24mths'!O42</f>
        <v>1000</v>
      </c>
      <c r="D42" s="367">
        <f>'Expenditure-24mths'!AB42</f>
        <v>1000</v>
      </c>
      <c r="E42" s="367">
        <f>$B107*E107</f>
        <v>2000</v>
      </c>
      <c r="F42" s="367">
        <f>$B107*F107</f>
        <v>2000</v>
      </c>
      <c r="G42" s="367">
        <f>$B107*G107</f>
        <v>3000</v>
      </c>
      <c r="H42" s="434">
        <f t="shared" si="7"/>
        <v>4.3797917864503422E-4</v>
      </c>
      <c r="I42" s="435">
        <f t="shared" si="6"/>
        <v>3.1522538615109804E-3</v>
      </c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</row>
    <row r="43" spans="1:27" s="383" customFormat="1" x14ac:dyDescent="0.2">
      <c r="A43" s="375" t="str">
        <f>'Expenditure-24mths'!A43</f>
        <v>R&amp;D</v>
      </c>
      <c r="B43" s="375"/>
      <c r="C43" s="382">
        <f>'Expenditure-24mths'!O43</f>
        <v>80000</v>
      </c>
      <c r="D43" s="382">
        <f>'Expenditure-24mths'!AB43</f>
        <v>80000</v>
      </c>
      <c r="E43" s="382">
        <f>ROUNDUP($B108*E108*(1+$B$129)^E$131,-2)</f>
        <v>176400</v>
      </c>
      <c r="F43" s="382">
        <f>ROUNDUP($B108*F108*(1+$B$129)^F$131,-2)</f>
        <v>185300</v>
      </c>
      <c r="G43" s="382">
        <f>ROUNDUP($B108*G108*(1+$B$129)^G$131,-2)</f>
        <v>291800</v>
      </c>
      <c r="H43" s="430">
        <f t="shared" si="7"/>
        <v>3.9588451314192814E-2</v>
      </c>
      <c r="I43" s="439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440"/>
      <c r="AA43" s="440"/>
    </row>
    <row r="44" spans="1:27" x14ac:dyDescent="0.2">
      <c r="A44" s="375" t="str">
        <f>'Expenditure-24mths'!A44</f>
        <v>Other SG&amp;A</v>
      </c>
      <c r="B44" s="368"/>
      <c r="C44" s="376">
        <f>SUM(C45:C56)</f>
        <v>111760</v>
      </c>
      <c r="D44" s="376">
        <f>SUM(D45:D56)</f>
        <v>90000</v>
      </c>
      <c r="E44" s="376">
        <f>SUM(E45:E56)</f>
        <v>172800</v>
      </c>
      <c r="F44" s="376">
        <f>SUM(F45:F56)</f>
        <v>210000</v>
      </c>
      <c r="G44" s="376">
        <f>SUM(G45:G56)</f>
        <v>250800</v>
      </c>
      <c r="H44" s="430">
        <f t="shared" si="7"/>
        <v>4.0652254074768419E-2</v>
      </c>
      <c r="I44" s="43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</row>
    <row r="45" spans="1:27" x14ac:dyDescent="0.2">
      <c r="A45" s="366" t="str">
        <f>'Expenditure-24mths'!A45</f>
        <v>Office utilities</v>
      </c>
      <c r="B45" s="366"/>
      <c r="C45" s="367">
        <f>'Expenditure-24mths'!O45</f>
        <v>12000</v>
      </c>
      <c r="D45" s="367">
        <f>'Expenditure-24mths'!AB45</f>
        <v>12000</v>
      </c>
      <c r="E45" s="367">
        <f>$B110*E110</f>
        <v>24000</v>
      </c>
      <c r="F45" s="367">
        <f>$B110*F110</f>
        <v>36000</v>
      </c>
      <c r="G45" s="367">
        <f>$B110*G110</f>
        <v>48000</v>
      </c>
      <c r="H45" s="434">
        <f t="shared" si="7"/>
        <v>6.423694620127169E-3</v>
      </c>
      <c r="I45" s="435">
        <f>SUM(C45:G45)/SUM($C$44:$G$44)</f>
        <v>0.15801570580348592</v>
      </c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7"/>
      <c r="Y45" s="367"/>
    </row>
    <row r="46" spans="1:27" s="377" customFormat="1" x14ac:dyDescent="0.2">
      <c r="A46" s="372" t="str">
        <f>'Expenditure-24mths'!A46</f>
        <v>Lab utilities</v>
      </c>
      <c r="B46" s="372"/>
      <c r="C46" s="370"/>
      <c r="D46" s="370"/>
      <c r="E46" s="370"/>
      <c r="F46" s="370"/>
      <c r="G46" s="370"/>
      <c r="H46" s="436"/>
      <c r="I46" s="437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1"/>
      <c r="AA46" s="371"/>
    </row>
    <row r="47" spans="1:27" x14ac:dyDescent="0.2">
      <c r="A47" s="366" t="str">
        <f>'Expenditure-24mths'!A47</f>
        <v>Office rental</v>
      </c>
      <c r="B47" s="366"/>
      <c r="C47" s="367">
        <f>'Expenditure-24mths'!O47</f>
        <v>42000</v>
      </c>
      <c r="D47" s="367">
        <f>'Expenditure-24mths'!AB47</f>
        <v>42000</v>
      </c>
      <c r="E47" s="367">
        <f>$B112*E112</f>
        <v>84000</v>
      </c>
      <c r="F47" s="367">
        <f>$B112*F112</f>
        <v>84000</v>
      </c>
      <c r="G47" s="367">
        <f>$B112*G112</f>
        <v>84000</v>
      </c>
      <c r="H47" s="434">
        <f>SUM(C47:G47)/SUM($C$61:$G$61)</f>
        <v>1.6351222669414613E-2</v>
      </c>
      <c r="I47" s="435">
        <f>SUM(C47:G47)/SUM($C$44:$G$44)</f>
        <v>0.40222179659069146</v>
      </c>
      <c r="J47" s="438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367"/>
      <c r="W47" s="367"/>
      <c r="X47" s="367"/>
      <c r="Y47" s="367"/>
    </row>
    <row r="48" spans="1:27" s="377" customFormat="1" x14ac:dyDescent="0.2">
      <c r="A48" s="372" t="str">
        <f>'Expenditure-24mths'!A48</f>
        <v>Lab rental</v>
      </c>
      <c r="B48" s="372"/>
      <c r="C48" s="370"/>
      <c r="D48" s="370"/>
      <c r="E48" s="370"/>
      <c r="F48" s="370"/>
      <c r="G48" s="370"/>
      <c r="H48" s="436"/>
      <c r="I48" s="437"/>
      <c r="J48" s="370"/>
      <c r="K48" s="370"/>
      <c r="L48" s="370"/>
      <c r="M48" s="370"/>
      <c r="N48" s="370"/>
      <c r="O48" s="370"/>
      <c r="P48" s="370"/>
      <c r="Q48" s="370"/>
      <c r="R48" s="370"/>
      <c r="S48" s="370"/>
      <c r="T48" s="370"/>
      <c r="U48" s="370"/>
      <c r="V48" s="370"/>
      <c r="W48" s="370"/>
      <c r="X48" s="370"/>
      <c r="Y48" s="370"/>
      <c r="Z48" s="371"/>
      <c r="AA48" s="371"/>
    </row>
    <row r="49" spans="1:27" s="377" customFormat="1" x14ac:dyDescent="0.2">
      <c r="A49" s="372" t="str">
        <f>'Expenditure-24mths'!A49</f>
        <v>Equipment maintenance</v>
      </c>
      <c r="B49" s="372"/>
      <c r="C49" s="370"/>
      <c r="D49" s="370"/>
      <c r="E49" s="370"/>
      <c r="F49" s="370"/>
      <c r="G49" s="370"/>
      <c r="H49" s="436"/>
      <c r="I49" s="437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1"/>
      <c r="AA49" s="371"/>
    </row>
    <row r="50" spans="1:27" x14ac:dyDescent="0.2">
      <c r="A50" s="366" t="str">
        <f>'Expenditure-24mths'!A50</f>
        <v>Printing/stationery</v>
      </c>
      <c r="B50" s="366"/>
      <c r="C50" s="367">
        <f>'Expenditure-24mths'!O50</f>
        <v>2400</v>
      </c>
      <c r="D50" s="367">
        <f>'Expenditure-24mths'!AB50</f>
        <v>2400</v>
      </c>
      <c r="E50" s="367">
        <f t="shared" ref="E50:G56" si="8">$B115*E115</f>
        <v>4800</v>
      </c>
      <c r="F50" s="367">
        <f t="shared" si="8"/>
        <v>7200</v>
      </c>
      <c r="G50" s="367">
        <f t="shared" si="8"/>
        <v>9600</v>
      </c>
      <c r="H50" s="434">
        <f t="shared" ref="H50:H56" si="9">SUM(C50:G50)/SUM($C$61:$G$61)</f>
        <v>1.2847389240254338E-3</v>
      </c>
      <c r="I50" s="435">
        <f t="shared" ref="I50:I56" si="10">SUM(C50:G50)/SUM($C$44:$G$44)</f>
        <v>3.1603141160697186E-2</v>
      </c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</row>
    <row r="51" spans="1:27" x14ac:dyDescent="0.2">
      <c r="A51" s="366" t="str">
        <f>'Expenditure-24mths'!A51</f>
        <v>Postage</v>
      </c>
      <c r="B51" s="366"/>
      <c r="C51" s="367">
        <f>'Expenditure-24mths'!O51</f>
        <v>2400</v>
      </c>
      <c r="D51" s="367">
        <f>'Expenditure-24mths'!AB51</f>
        <v>2400</v>
      </c>
      <c r="E51" s="367">
        <f t="shared" si="8"/>
        <v>4800</v>
      </c>
      <c r="F51" s="367">
        <f t="shared" si="8"/>
        <v>7200</v>
      </c>
      <c r="G51" s="367">
        <f t="shared" si="8"/>
        <v>9600</v>
      </c>
      <c r="H51" s="434">
        <f t="shared" si="9"/>
        <v>1.2847389240254338E-3</v>
      </c>
      <c r="I51" s="435">
        <f t="shared" si="10"/>
        <v>3.1603141160697186E-2</v>
      </c>
      <c r="J51" s="367"/>
      <c r="K51" s="367"/>
      <c r="L51" s="367"/>
      <c r="M51" s="367"/>
      <c r="N51" s="367"/>
      <c r="O51" s="367"/>
      <c r="P51" s="367"/>
      <c r="Q51" s="367"/>
      <c r="R51" s="367"/>
      <c r="S51" s="367"/>
      <c r="T51" s="367"/>
      <c r="U51" s="367"/>
      <c r="V51" s="367"/>
      <c r="W51" s="367"/>
      <c r="X51" s="367"/>
      <c r="Y51" s="367"/>
    </row>
    <row r="52" spans="1:27" x14ac:dyDescent="0.2">
      <c r="A52" s="366" t="str">
        <f>'Expenditure-24mths'!A52</f>
        <v>Internet/telephone/fax</v>
      </c>
      <c r="B52" s="366"/>
      <c r="C52" s="367">
        <f>'Expenditure-24mths'!O52</f>
        <v>12000</v>
      </c>
      <c r="D52" s="367">
        <f>'Expenditure-24mths'!AB52</f>
        <v>12000</v>
      </c>
      <c r="E52" s="367">
        <f t="shared" si="8"/>
        <v>24000</v>
      </c>
      <c r="F52" s="367">
        <f t="shared" si="8"/>
        <v>36000</v>
      </c>
      <c r="G52" s="367">
        <f t="shared" si="8"/>
        <v>48000</v>
      </c>
      <c r="H52" s="434">
        <f t="shared" si="9"/>
        <v>6.423694620127169E-3</v>
      </c>
      <c r="I52" s="435">
        <f t="shared" si="10"/>
        <v>0.15801570580348592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</row>
    <row r="53" spans="1:27" x14ac:dyDescent="0.2">
      <c r="A53" s="366" t="str">
        <f>'Expenditure-24mths'!A53</f>
        <v>Local transport</v>
      </c>
      <c r="B53" s="366"/>
      <c r="C53" s="367">
        <f>'Expenditure-24mths'!O53</f>
        <v>14400</v>
      </c>
      <c r="D53" s="367">
        <f>'Expenditure-24mths'!AB53</f>
        <v>18000</v>
      </c>
      <c r="E53" s="367">
        <f t="shared" si="8"/>
        <v>28800</v>
      </c>
      <c r="F53" s="367">
        <f t="shared" si="8"/>
        <v>36000</v>
      </c>
      <c r="G53" s="367">
        <f t="shared" si="8"/>
        <v>46800</v>
      </c>
      <c r="H53" s="434">
        <f t="shared" si="9"/>
        <v>7.0076668583205475E-3</v>
      </c>
      <c r="I53" s="435">
        <f t="shared" si="10"/>
        <v>0.1723807699674392</v>
      </c>
      <c r="J53" s="367"/>
      <c r="K53" s="367"/>
      <c r="L53" s="367"/>
      <c r="M53" s="367"/>
      <c r="N53" s="367"/>
      <c r="O53" s="367"/>
      <c r="P53" s="367"/>
      <c r="Q53" s="367"/>
      <c r="R53" s="367"/>
      <c r="S53" s="367"/>
      <c r="T53" s="367"/>
      <c r="U53" s="367"/>
      <c r="V53" s="367"/>
      <c r="W53" s="367"/>
      <c r="X53" s="367"/>
      <c r="Y53" s="367"/>
    </row>
    <row r="54" spans="1:27" x14ac:dyDescent="0.2">
      <c r="A54" s="366" t="str">
        <f>'Expenditure-24mths'!A54</f>
        <v>Software license</v>
      </c>
      <c r="B54" s="366"/>
      <c r="C54" s="367">
        <f>'Expenditure-24mths'!O54</f>
        <v>12680</v>
      </c>
      <c r="D54" s="367">
        <f>'Expenditure-24mths'!AB54</f>
        <v>0</v>
      </c>
      <c r="E54" s="367">
        <f t="shared" si="8"/>
        <v>0</v>
      </c>
      <c r="F54" s="367">
        <f t="shared" si="8"/>
        <v>0</v>
      </c>
      <c r="G54" s="367">
        <f t="shared" si="8"/>
        <v>0</v>
      </c>
      <c r="H54" s="434">
        <f t="shared" si="9"/>
        <v>6.1706399835767046E-4</v>
      </c>
      <c r="I54" s="435">
        <f t="shared" si="10"/>
        <v>1.5179084466577284E-2</v>
      </c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</row>
    <row r="55" spans="1:27" x14ac:dyDescent="0.2">
      <c r="A55" s="366" t="str">
        <f>'Expenditure-24mths'!A55</f>
        <v>Upfront licensing fee</v>
      </c>
      <c r="B55" s="366"/>
      <c r="C55" s="367">
        <f>'Expenditure-24mths'!O55</f>
        <v>12680</v>
      </c>
      <c r="D55" s="367">
        <f>'Expenditure-24mths'!AB55</f>
        <v>0</v>
      </c>
      <c r="E55" s="367">
        <f t="shared" si="8"/>
        <v>0</v>
      </c>
      <c r="F55" s="367">
        <f t="shared" si="8"/>
        <v>0</v>
      </c>
      <c r="G55" s="367">
        <f t="shared" si="8"/>
        <v>0</v>
      </c>
      <c r="H55" s="434">
        <f t="shared" si="9"/>
        <v>6.1706399835767046E-4</v>
      </c>
      <c r="I55" s="435">
        <f t="shared" si="10"/>
        <v>1.5179084466577284E-2</v>
      </c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</row>
    <row r="56" spans="1:27" x14ac:dyDescent="0.2">
      <c r="A56" s="366" t="str">
        <f>'Expenditure-24mths'!A56</f>
        <v>Miscellaneous</v>
      </c>
      <c r="B56" s="366"/>
      <c r="C56" s="367">
        <f>'Expenditure-24mths'!O56</f>
        <v>1200</v>
      </c>
      <c r="D56" s="367">
        <f>'Expenditure-24mths'!AB56</f>
        <v>1200</v>
      </c>
      <c r="E56" s="367">
        <f t="shared" si="8"/>
        <v>2400</v>
      </c>
      <c r="F56" s="367">
        <f t="shared" si="8"/>
        <v>3600</v>
      </c>
      <c r="G56" s="367">
        <f t="shared" si="8"/>
        <v>4800</v>
      </c>
      <c r="H56" s="434">
        <f t="shared" si="9"/>
        <v>6.4236946201271688E-4</v>
      </c>
      <c r="I56" s="435">
        <f t="shared" si="10"/>
        <v>1.5801570580348593E-2</v>
      </c>
    </row>
    <row r="57" spans="1:27" s="377" customFormat="1" x14ac:dyDescent="0.2">
      <c r="A57" s="372" t="str">
        <f>'Expenditure-24mths'!A57</f>
        <v>HAS regulatory fee</v>
      </c>
      <c r="B57" s="372"/>
      <c r="C57" s="370"/>
      <c r="D57" s="371"/>
      <c r="E57" s="371"/>
      <c r="F57" s="371"/>
      <c r="G57" s="371"/>
      <c r="H57" s="436"/>
      <c r="I57" s="437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</row>
    <row r="58" spans="1:27" x14ac:dyDescent="0.2">
      <c r="A58" s="384" t="str">
        <f>'Expenditure-24mths'!A58</f>
        <v>Other COGS</v>
      </c>
      <c r="B58" s="384"/>
      <c r="C58" s="376">
        <f>SUM(C59:C60)</f>
        <v>50000</v>
      </c>
      <c r="D58" s="376">
        <f>SUM(D59:D60)</f>
        <v>168000</v>
      </c>
      <c r="E58" s="376">
        <f>SUM(E59:E60)</f>
        <v>319936</v>
      </c>
      <c r="F58" s="376">
        <f>SUM(F59:F60)</f>
        <v>1074784.9600000004</v>
      </c>
      <c r="G58" s="376">
        <f>SUM(G59:G60)</f>
        <v>3611313.4656000012</v>
      </c>
      <c r="H58" s="430">
        <f>SUM(C58:G58)/SUM($C$61:$G$61)</f>
        <v>0.25422425632640799</v>
      </c>
      <c r="I58" s="435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376"/>
      <c r="W58" s="376"/>
      <c r="X58" s="376"/>
      <c r="Y58" s="376"/>
    </row>
    <row r="59" spans="1:27" s="355" customFormat="1" x14ac:dyDescent="0.2">
      <c r="A59" s="385" t="str">
        <f>'Expenditure-24mths'!A59</f>
        <v>Royalty fee</v>
      </c>
      <c r="B59" s="385"/>
      <c r="C59" s="367">
        <f>'Expenditure-24mths'!O59</f>
        <v>25000</v>
      </c>
      <c r="D59" s="367">
        <f>'Expenditure-24mths'!AB59</f>
        <v>84000</v>
      </c>
      <c r="E59" s="367">
        <f>ROUNDUP($B124*Revenue!D36,-2)</f>
        <v>160000</v>
      </c>
      <c r="F59" s="367">
        <f>ROUNDUP($B124*Revenue!E36,-2)</f>
        <v>537400</v>
      </c>
      <c r="G59" s="367">
        <f>ROUNDUP($B124*Revenue!F36,-2)</f>
        <v>1805700</v>
      </c>
      <c r="H59" s="434">
        <f>SUM(C59:G59)/SUM($C$61:$G$61)</f>
        <v>0.12711615694874376</v>
      </c>
      <c r="I59" s="435">
        <f>SUM(C59:G59)/SUM($C$58:$G$58)</f>
        <v>0.50001584736876803</v>
      </c>
      <c r="Q59" s="461"/>
    </row>
    <row r="60" spans="1:27" s="355" customFormat="1" x14ac:dyDescent="0.2">
      <c r="A60" s="368" t="str">
        <f>'Expenditure-24mths'!A60</f>
        <v>Credit card &amp; payment processing fee</v>
      </c>
      <c r="B60" s="385"/>
      <c r="C60" s="367">
        <f>'Expenditure-24mths'!O60</f>
        <v>25000</v>
      </c>
      <c r="D60" s="367">
        <f>'Expenditure-24mths'!AB60</f>
        <v>84000.000000000015</v>
      </c>
      <c r="E60" s="367">
        <f>$B125*Revenue!D36</f>
        <v>159936.00000000003</v>
      </c>
      <c r="F60" s="367">
        <f>$B125*Revenue!E36</f>
        <v>537384.96000000031</v>
      </c>
      <c r="G60" s="367">
        <f>$B125*Revenue!F36</f>
        <v>1805613.4656000012</v>
      </c>
      <c r="H60" s="434">
        <f>SUM(C60:G60)/SUM($C$61:$G$61)</f>
        <v>0.12710809937766421</v>
      </c>
      <c r="I60" s="435">
        <f>SUM(C60:G60)/SUM($C$58:$G$58)</f>
        <v>0.49998415263123203</v>
      </c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</row>
    <row r="61" spans="1:27" x14ac:dyDescent="0.2">
      <c r="A61" s="323" t="str">
        <f>'Expenditure-24mths'!A61</f>
        <v>Total cost</v>
      </c>
      <c r="B61" s="323"/>
      <c r="C61" s="386">
        <f>C6+C7+C25+C33+C43+C44+C58</f>
        <v>1209418</v>
      </c>
      <c r="D61" s="386">
        <f>D6+D7+D25+D33+D43+D44+D58</f>
        <v>1589058</v>
      </c>
      <c r="E61" s="386">
        <f>E6+E7+E25+E33+E43+E44+E58</f>
        <v>2918783.2611374995</v>
      </c>
      <c r="F61" s="386">
        <f>F6+F7+F25+F33+F43+F44+F58</f>
        <v>4930144.0499285934</v>
      </c>
      <c r="G61" s="386">
        <f>G6+G7+G25+G33+G43+G44+G58</f>
        <v>9901518.7355094701</v>
      </c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</row>
    <row r="62" spans="1:27" x14ac:dyDescent="0.2">
      <c r="A62" s="330"/>
      <c r="B62" s="330"/>
      <c r="C62" s="441">
        <f>C61-'Expenditure-24mths'!O61</f>
        <v>0</v>
      </c>
      <c r="D62" s="441">
        <f>D61-'Expenditure-24mths'!AB61</f>
        <v>0</v>
      </c>
      <c r="E62" s="355"/>
      <c r="F62" s="355"/>
      <c r="G62" s="355"/>
    </row>
    <row r="63" spans="1:27" x14ac:dyDescent="0.2">
      <c r="A63" s="330"/>
      <c r="B63" s="330"/>
    </row>
    <row r="64" spans="1:27" ht="12.75" thickBot="1" x14ac:dyDescent="0.25">
      <c r="A64" s="330"/>
      <c r="B64" s="330"/>
    </row>
    <row r="65" spans="1:27" x14ac:dyDescent="0.2">
      <c r="A65" s="466" t="s">
        <v>381</v>
      </c>
      <c r="B65" s="463" t="s">
        <v>440</v>
      </c>
      <c r="C65" s="464">
        <f>C5</f>
        <v>40178</v>
      </c>
      <c r="D65" s="464">
        <f>D5</f>
        <v>40543</v>
      </c>
      <c r="E65" s="464">
        <f>E5</f>
        <v>40908</v>
      </c>
      <c r="F65" s="464">
        <f>F5</f>
        <v>41273</v>
      </c>
      <c r="G65" s="465">
        <f>G5</f>
        <v>41638</v>
      </c>
      <c r="H65" s="442"/>
      <c r="I65" s="442"/>
      <c r="J65" s="442"/>
      <c r="K65" s="442"/>
      <c r="L65" s="442"/>
      <c r="M65" s="442"/>
      <c r="N65" s="442"/>
      <c r="O65" s="442"/>
      <c r="P65" s="442"/>
      <c r="Q65" s="442"/>
      <c r="R65" s="442"/>
      <c r="S65" s="442"/>
      <c r="T65" s="442"/>
      <c r="U65" s="442"/>
      <c r="V65" s="442"/>
      <c r="W65" s="442"/>
      <c r="X65" s="442"/>
      <c r="Y65" s="442"/>
      <c r="Z65" s="443"/>
      <c r="AA65" s="443"/>
    </row>
    <row r="66" spans="1:27" x14ac:dyDescent="0.2">
      <c r="A66" s="387" t="str">
        <f>'Expenditure-24mths'!A66</f>
        <v>Infrastructure</v>
      </c>
      <c r="B66" s="323"/>
      <c r="C66" s="388"/>
      <c r="D66" s="388"/>
      <c r="E66" s="388"/>
      <c r="F66" s="388"/>
      <c r="G66" s="444"/>
    </row>
    <row r="67" spans="1:27" x14ac:dyDescent="0.2">
      <c r="A67" s="391" t="str">
        <f>'Expenditure-24mths'!A67</f>
        <v>PP&amp;E</v>
      </c>
      <c r="B67" s="330"/>
      <c r="C67" s="388"/>
      <c r="D67" s="388"/>
      <c r="E67" s="388"/>
      <c r="F67" s="388"/>
      <c r="G67" s="444"/>
    </row>
    <row r="68" spans="1:27" x14ac:dyDescent="0.2">
      <c r="A68" s="392" t="str">
        <f>'Expenditure-24mths'!A68</f>
        <v>Computer/Electronics</v>
      </c>
      <c r="B68" s="368"/>
      <c r="C68" s="397"/>
      <c r="D68" s="397"/>
      <c r="E68" s="388"/>
      <c r="F68" s="388"/>
      <c r="G68" s="444"/>
    </row>
    <row r="69" spans="1:27" x14ac:dyDescent="0.2">
      <c r="A69" s="379" t="str">
        <f>'Expenditure-24mths'!A69</f>
        <v>Laptop</v>
      </c>
      <c r="B69" s="393">
        <f>'Expenditure-24mths'!B69</f>
        <v>1500</v>
      </c>
      <c r="C69" s="394"/>
      <c r="D69" s="394"/>
      <c r="E69" s="394">
        <f>Manpower!D13-Manpower!C13</f>
        <v>13</v>
      </c>
      <c r="F69" s="394">
        <f>Manpower!E13-Manpower!D13</f>
        <v>11</v>
      </c>
      <c r="G69" s="445">
        <f>Manpower!F13-Manpower!E13</f>
        <v>14</v>
      </c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</row>
    <row r="70" spans="1:27" x14ac:dyDescent="0.2">
      <c r="A70" s="379" t="str">
        <f>'Expenditure-24mths'!A70</f>
        <v>Printer</v>
      </c>
      <c r="B70" s="393">
        <f>'Expenditure-24mths'!B70</f>
        <v>1800</v>
      </c>
      <c r="C70" s="394"/>
      <c r="D70" s="394"/>
      <c r="E70" s="394">
        <f>Manpower!D24</f>
        <v>1</v>
      </c>
      <c r="F70" s="394">
        <f>Manpower!E24</f>
        <v>1</v>
      </c>
      <c r="G70" s="445">
        <f>Manpower!F24</f>
        <v>1</v>
      </c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332"/>
      <c r="T70" s="332"/>
      <c r="U70" s="332"/>
      <c r="V70" s="332"/>
      <c r="W70" s="332"/>
      <c r="X70" s="332"/>
      <c r="Y70" s="332"/>
      <c r="Z70" s="332"/>
      <c r="AA70" s="332"/>
    </row>
    <row r="71" spans="1:27" x14ac:dyDescent="0.2">
      <c r="A71" s="379" t="str">
        <f>'Expenditure-24mths'!A71</f>
        <v>Projector</v>
      </c>
      <c r="B71" s="393">
        <f>'Expenditure-24mths'!B71</f>
        <v>1000</v>
      </c>
      <c r="C71" s="394"/>
      <c r="D71" s="394"/>
      <c r="E71" s="394">
        <f>Manpower!D27</f>
        <v>1</v>
      </c>
      <c r="F71" s="394">
        <f>Manpower!E27</f>
        <v>1</v>
      </c>
      <c r="G71" s="445">
        <f>Manpower!F27</f>
        <v>1</v>
      </c>
      <c r="H71" s="332"/>
      <c r="I71" s="332"/>
      <c r="J71" s="332"/>
      <c r="K71" s="332"/>
      <c r="L71" s="332"/>
      <c r="M71" s="332"/>
      <c r="N71" s="332"/>
      <c r="O71" s="332"/>
      <c r="P71" s="332"/>
      <c r="Q71" s="332"/>
      <c r="R71" s="332"/>
      <c r="S71" s="332"/>
      <c r="T71" s="332"/>
      <c r="U71" s="332"/>
      <c r="V71" s="332"/>
      <c r="W71" s="332"/>
      <c r="X71" s="332"/>
      <c r="Y71" s="332"/>
      <c r="Z71" s="332"/>
      <c r="AA71" s="332"/>
    </row>
    <row r="72" spans="1:27" x14ac:dyDescent="0.2">
      <c r="A72" s="392" t="str">
        <f>'Expenditure-24mths'!A72</f>
        <v>Furniture &amp; fittings</v>
      </c>
      <c r="B72" s="368"/>
      <c r="C72" s="397"/>
      <c r="D72" s="397"/>
      <c r="E72" s="388"/>
      <c r="F72" s="388"/>
      <c r="G72" s="444"/>
    </row>
    <row r="73" spans="1:27" x14ac:dyDescent="0.2">
      <c r="A73" s="379" t="str">
        <f>'Expenditure-24mths'!A73</f>
        <v>Office desk</v>
      </c>
      <c r="B73" s="393">
        <f>'Expenditure-24mths'!B73</f>
        <v>250</v>
      </c>
      <c r="C73" s="394"/>
      <c r="D73" s="394"/>
      <c r="E73" s="394">
        <f t="shared" ref="E73:G75" si="11">E$69</f>
        <v>13</v>
      </c>
      <c r="F73" s="394">
        <f t="shared" si="11"/>
        <v>11</v>
      </c>
      <c r="G73" s="445">
        <f t="shared" si="11"/>
        <v>14</v>
      </c>
      <c r="H73" s="446"/>
      <c r="I73" s="446"/>
      <c r="J73" s="446"/>
      <c r="K73" s="446"/>
      <c r="L73" s="446"/>
      <c r="M73" s="446"/>
      <c r="N73" s="447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</row>
    <row r="74" spans="1:27" x14ac:dyDescent="0.2">
      <c r="A74" s="379" t="str">
        <f>'Expenditure-24mths'!A74</f>
        <v>Filling cabinet</v>
      </c>
      <c r="B74" s="393">
        <f>'Expenditure-24mths'!B74</f>
        <v>300</v>
      </c>
      <c r="C74" s="394"/>
      <c r="D74" s="394"/>
      <c r="E74" s="394">
        <f>Manpower!D29</f>
        <v>1</v>
      </c>
      <c r="F74" s="394">
        <f>Manpower!E29</f>
        <v>1</v>
      </c>
      <c r="G74" s="445">
        <f>Manpower!F29</f>
        <v>1</v>
      </c>
      <c r="H74" s="446"/>
      <c r="I74" s="446"/>
      <c r="J74" s="446"/>
      <c r="K74" s="446"/>
      <c r="L74" s="446"/>
      <c r="M74" s="446"/>
      <c r="N74" s="447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</row>
    <row r="75" spans="1:27" x14ac:dyDescent="0.2">
      <c r="A75" s="379" t="str">
        <f>'Expenditure-24mths'!A75</f>
        <v>Office chair</v>
      </c>
      <c r="B75" s="393">
        <f>'Expenditure-24mths'!B75</f>
        <v>200</v>
      </c>
      <c r="C75" s="394"/>
      <c r="D75" s="394"/>
      <c r="E75" s="394">
        <f t="shared" si="11"/>
        <v>13</v>
      </c>
      <c r="F75" s="394">
        <f t="shared" si="11"/>
        <v>11</v>
      </c>
      <c r="G75" s="445">
        <f t="shared" si="11"/>
        <v>14</v>
      </c>
      <c r="H75" s="446"/>
      <c r="I75" s="446"/>
      <c r="J75" s="446"/>
      <c r="K75" s="446"/>
      <c r="L75" s="446"/>
      <c r="M75" s="446"/>
      <c r="N75" s="447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</row>
    <row r="76" spans="1:27" x14ac:dyDescent="0.2">
      <c r="A76" s="379" t="str">
        <f>'Expenditure-24mths'!A76</f>
        <v>Phone</v>
      </c>
      <c r="B76" s="393">
        <f>'Expenditure-24mths'!B76</f>
        <v>100</v>
      </c>
      <c r="C76" s="394"/>
      <c r="D76" s="394"/>
      <c r="E76" s="394">
        <f>Manpower!D31+Manpower!D33</f>
        <v>1</v>
      </c>
      <c r="F76" s="394">
        <f>Manpower!E31+Manpower!E33</f>
        <v>1</v>
      </c>
      <c r="G76" s="445">
        <f>Manpower!F31+Manpower!F33</f>
        <v>1</v>
      </c>
      <c r="H76" s="446"/>
      <c r="I76" s="446"/>
      <c r="J76" s="446"/>
      <c r="K76" s="446"/>
      <c r="L76" s="446"/>
      <c r="M76" s="446"/>
      <c r="N76" s="447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</row>
    <row r="77" spans="1:27" x14ac:dyDescent="0.2">
      <c r="A77" s="392" t="str">
        <f>'Expenditure-24mths'!A77</f>
        <v>Equipment &amp; tools</v>
      </c>
      <c r="B77" s="368"/>
      <c r="C77" s="397"/>
      <c r="D77" s="397"/>
      <c r="E77" s="388"/>
      <c r="F77" s="388"/>
      <c r="G77" s="444"/>
    </row>
    <row r="78" spans="1:27" x14ac:dyDescent="0.2">
      <c r="A78" s="379" t="str">
        <f>'Expenditure-24mths'!A78</f>
        <v>Server</v>
      </c>
      <c r="B78" s="398">
        <f>'Expenditure-24mths'!B78*12</f>
        <v>7608</v>
      </c>
      <c r="C78" s="397"/>
      <c r="D78" s="397"/>
      <c r="E78" s="400">
        <v>1</v>
      </c>
      <c r="F78" s="400">
        <v>1</v>
      </c>
      <c r="G78" s="448">
        <v>1</v>
      </c>
    </row>
    <row r="79" spans="1:27" s="377" customFormat="1" x14ac:dyDescent="0.2">
      <c r="A79" s="401" t="str">
        <f>'Expenditure-24mths'!A79</f>
        <v>Lab furniture &amp; fittings</v>
      </c>
      <c r="B79" s="369"/>
      <c r="C79" s="402"/>
      <c r="D79" s="402"/>
      <c r="E79" s="403"/>
      <c r="F79" s="403"/>
      <c r="G79" s="449"/>
      <c r="H79" s="450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</row>
    <row r="80" spans="1:27" s="377" customFormat="1" x14ac:dyDescent="0.2">
      <c r="A80" s="406" t="str">
        <f>'Expenditure-24mths'!A80</f>
        <v>Work bench</v>
      </c>
      <c r="B80" s="407"/>
      <c r="C80" s="408"/>
      <c r="D80" s="408"/>
      <c r="E80" s="409"/>
      <c r="F80" s="409"/>
      <c r="G80" s="451"/>
      <c r="H80" s="452"/>
      <c r="I80" s="452"/>
      <c r="J80" s="452"/>
      <c r="K80" s="452"/>
      <c r="L80" s="452"/>
      <c r="M80" s="452"/>
      <c r="N80" s="452"/>
      <c r="O80" s="452"/>
      <c r="P80" s="452"/>
      <c r="Q80" s="452"/>
      <c r="R80" s="452"/>
      <c r="S80" s="452"/>
      <c r="T80" s="452"/>
      <c r="U80" s="452"/>
      <c r="V80" s="452"/>
      <c r="W80" s="452"/>
      <c r="X80" s="452"/>
      <c r="Y80" s="452"/>
      <c r="Z80" s="371"/>
      <c r="AA80" s="371"/>
    </row>
    <row r="81" spans="1:27" s="377" customFormat="1" x14ac:dyDescent="0.2">
      <c r="A81" s="406" t="str">
        <f>'Expenditure-24mths'!A81</f>
        <v>Lab chair</v>
      </c>
      <c r="B81" s="407"/>
      <c r="C81" s="408"/>
      <c r="D81" s="408"/>
      <c r="E81" s="409"/>
      <c r="F81" s="409"/>
      <c r="G81" s="451"/>
      <c r="H81" s="452"/>
      <c r="I81" s="452"/>
      <c r="J81" s="452"/>
      <c r="K81" s="452"/>
      <c r="L81" s="452"/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371"/>
      <c r="AA81" s="371"/>
    </row>
    <row r="82" spans="1:27" x14ac:dyDescent="0.2">
      <c r="A82" s="412" t="str">
        <f>'Expenditure-24mths'!A82</f>
        <v>Other expense</v>
      </c>
      <c r="B82" s="393"/>
      <c r="C82" s="397"/>
      <c r="D82" s="397"/>
      <c r="E82" s="388"/>
      <c r="F82" s="388"/>
      <c r="G82" s="444"/>
    </row>
    <row r="83" spans="1:27" x14ac:dyDescent="0.2">
      <c r="A83" s="379" t="str">
        <f>'Expenditure-24mths'!A83</f>
        <v>Renovation</v>
      </c>
      <c r="B83" s="393">
        <f>'Expenditure-24mths'!B83</f>
        <v>15000</v>
      </c>
      <c r="C83" s="394"/>
      <c r="D83" s="413"/>
      <c r="E83" s="414"/>
      <c r="F83" s="400">
        <v>2</v>
      </c>
      <c r="G83" s="453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6"/>
      <c r="S83" s="446"/>
      <c r="T83" s="446"/>
      <c r="U83" s="446"/>
      <c r="V83" s="446"/>
      <c r="W83" s="446"/>
      <c r="X83" s="446"/>
      <c r="Y83" s="446"/>
    </row>
    <row r="84" spans="1:27" x14ac:dyDescent="0.2">
      <c r="A84" s="417" t="str">
        <f>'Expenditure-24mths'!A84</f>
        <v>Professional services</v>
      </c>
      <c r="B84" s="393"/>
      <c r="C84" s="397"/>
      <c r="D84" s="397"/>
      <c r="E84" s="388"/>
      <c r="F84" s="388"/>
      <c r="G84" s="444"/>
    </row>
    <row r="85" spans="1:27" s="355" customFormat="1" x14ac:dyDescent="0.2">
      <c r="A85" s="392" t="str">
        <f>'Expenditure-24mths'!A85</f>
        <v>Legal Fee</v>
      </c>
      <c r="B85" s="393">
        <f>'Expenditure-24mths'!B85</f>
        <v>5000</v>
      </c>
      <c r="C85" s="394"/>
      <c r="D85" s="394"/>
      <c r="E85" s="400">
        <v>4</v>
      </c>
      <c r="F85" s="400">
        <v>4</v>
      </c>
      <c r="G85" s="448">
        <v>4</v>
      </c>
      <c r="H85" s="450"/>
      <c r="I85" s="332"/>
      <c r="L85" s="332"/>
      <c r="P85" s="332"/>
      <c r="T85" s="332"/>
      <c r="U85" s="332"/>
      <c r="X85" s="332"/>
    </row>
    <row r="86" spans="1:27" s="355" customFormat="1" x14ac:dyDescent="0.2">
      <c r="A86" s="392" t="str">
        <f>'Expenditure-24mths'!A86</f>
        <v>Patent application fee</v>
      </c>
      <c r="B86" s="393"/>
      <c r="C86" s="394"/>
      <c r="D86" s="397"/>
      <c r="E86" s="388"/>
      <c r="F86" s="388"/>
      <c r="G86" s="444"/>
      <c r="H86" s="450"/>
    </row>
    <row r="87" spans="1:27" s="355" customFormat="1" x14ac:dyDescent="0.2">
      <c r="A87" s="379" t="str">
        <f>'Expenditure-24mths'!A87</f>
        <v>United States</v>
      </c>
      <c r="B87" s="393">
        <f>'Expenditure-24mths'!B87</f>
        <v>14000</v>
      </c>
      <c r="C87" s="397"/>
      <c r="D87" s="397"/>
      <c r="E87" s="388"/>
      <c r="F87" s="400">
        <v>1</v>
      </c>
      <c r="G87" s="444"/>
      <c r="I87" s="332"/>
    </row>
    <row r="88" spans="1:27" s="355" customFormat="1" x14ac:dyDescent="0.2">
      <c r="A88" s="379" t="str">
        <f>'Expenditure-24mths'!A88</f>
        <v>Europe</v>
      </c>
      <c r="B88" s="393">
        <f>'Expenditure-24mths'!B88</f>
        <v>20000</v>
      </c>
      <c r="C88" s="397"/>
      <c r="D88" s="397"/>
      <c r="E88" s="388"/>
      <c r="F88" s="400">
        <v>1</v>
      </c>
      <c r="G88" s="444"/>
      <c r="U88" s="332"/>
    </row>
    <row r="89" spans="1:27" s="355" customFormat="1" x14ac:dyDescent="0.2">
      <c r="A89" s="379" t="str">
        <f>'Expenditure-24mths'!A89</f>
        <v>Australia/New Zealand</v>
      </c>
      <c r="B89" s="393">
        <f>'Expenditure-24mths'!B89</f>
        <v>17000</v>
      </c>
      <c r="C89" s="397"/>
      <c r="D89" s="397"/>
      <c r="E89" s="394"/>
      <c r="F89" s="388"/>
      <c r="G89" s="444"/>
    </row>
    <row r="90" spans="1:27" s="355" customFormat="1" x14ac:dyDescent="0.2">
      <c r="A90" s="379" t="str">
        <f>'Expenditure-24mths'!A90</f>
        <v>Japan</v>
      </c>
      <c r="B90" s="393">
        <f>'Expenditure-24mths'!B90</f>
        <v>8000</v>
      </c>
      <c r="C90" s="397"/>
      <c r="D90" s="397"/>
      <c r="E90" s="394"/>
      <c r="F90" s="388"/>
      <c r="G90" s="444"/>
      <c r="U90" s="332"/>
    </row>
    <row r="91" spans="1:27" s="355" customFormat="1" x14ac:dyDescent="0.2">
      <c r="A91" s="379" t="str">
        <f>'Expenditure-24mths'!A91</f>
        <v>India</v>
      </c>
      <c r="B91" s="393">
        <f>'Expenditure-24mths'!B91</f>
        <v>8000</v>
      </c>
      <c r="C91" s="394"/>
      <c r="D91" s="394"/>
      <c r="E91" s="400">
        <v>1</v>
      </c>
      <c r="F91" s="388"/>
      <c r="G91" s="444"/>
      <c r="I91" s="332"/>
    </row>
    <row r="92" spans="1:27" s="355" customFormat="1" x14ac:dyDescent="0.2">
      <c r="A92" s="379" t="str">
        <f>'Expenditure-24mths'!A92</f>
        <v>Singapore</v>
      </c>
      <c r="B92" s="393">
        <f>'Expenditure-24mths'!B92</f>
        <v>1700</v>
      </c>
      <c r="C92" s="394"/>
      <c r="D92" s="397"/>
      <c r="E92" s="388"/>
      <c r="F92" s="388"/>
      <c r="G92" s="444"/>
    </row>
    <row r="93" spans="1:27" s="355" customFormat="1" x14ac:dyDescent="0.2">
      <c r="A93" s="392" t="str">
        <f>'Expenditure-24mths'!A93</f>
        <v>Patent maintenance fee</v>
      </c>
      <c r="B93" s="393">
        <f>'Expenditure-24mths'!B93</f>
        <v>1000</v>
      </c>
      <c r="C93" s="397"/>
      <c r="D93" s="418"/>
      <c r="E93" s="418">
        <f>D93+SUM(D87:D92)</f>
        <v>0</v>
      </c>
      <c r="F93" s="418">
        <f>E93+SUM(E87:E92)</f>
        <v>1</v>
      </c>
      <c r="G93" s="454">
        <f>F93+SUM(F87:F92)</f>
        <v>3</v>
      </c>
    </row>
    <row r="94" spans="1:27" s="355" customFormat="1" x14ac:dyDescent="0.2">
      <c r="A94" s="392" t="str">
        <f>'Expenditure-24mths'!A94</f>
        <v>Accounting &amp; audit fee</v>
      </c>
      <c r="B94" s="393">
        <f>'Expenditure-24mths'!B94</f>
        <v>2500</v>
      </c>
      <c r="C94" s="394"/>
      <c r="D94" s="394"/>
      <c r="E94" s="400">
        <v>1</v>
      </c>
      <c r="F94" s="400">
        <v>1</v>
      </c>
      <c r="G94" s="448">
        <v>1</v>
      </c>
    </row>
    <row r="95" spans="1:27" s="355" customFormat="1" x14ac:dyDescent="0.2">
      <c r="A95" s="392" t="str">
        <f>'Expenditure-24mths'!A95</f>
        <v>Consulting</v>
      </c>
      <c r="B95" s="393">
        <f>'Expenditure-24mths'!B95*12</f>
        <v>6000</v>
      </c>
      <c r="C95" s="394"/>
      <c r="D95" s="394"/>
      <c r="E95" s="400">
        <v>1</v>
      </c>
      <c r="F95" s="400">
        <v>1</v>
      </c>
      <c r="G95" s="448">
        <v>1</v>
      </c>
      <c r="I95" s="332"/>
      <c r="L95" s="332"/>
      <c r="P95" s="332"/>
      <c r="T95" s="332"/>
      <c r="X95" s="332"/>
    </row>
    <row r="96" spans="1:27" s="355" customFormat="1" x14ac:dyDescent="0.2">
      <c r="A96" s="392" t="str">
        <f>'Expenditure-24mths'!A96</f>
        <v>Insurance</v>
      </c>
      <c r="B96" s="393">
        <f>'Expenditure-24mths'!B96</f>
        <v>7500</v>
      </c>
      <c r="C96" s="394"/>
      <c r="D96" s="394"/>
      <c r="E96" s="400">
        <v>2</v>
      </c>
      <c r="F96" s="400">
        <v>3</v>
      </c>
      <c r="G96" s="448">
        <v>4</v>
      </c>
      <c r="H96" s="450"/>
      <c r="N96" s="332"/>
    </row>
    <row r="97" spans="1:27" s="371" customFormat="1" x14ac:dyDescent="0.2">
      <c r="A97" s="401" t="str">
        <f>'Expenditure-24mths'!A97</f>
        <v>Regulatory application</v>
      </c>
      <c r="B97" s="407">
        <v>5000</v>
      </c>
      <c r="C97" s="402"/>
      <c r="D97" s="402"/>
      <c r="E97" s="402"/>
      <c r="F97" s="402"/>
      <c r="G97" s="455"/>
    </row>
    <row r="98" spans="1:27" s="355" customFormat="1" x14ac:dyDescent="0.2">
      <c r="A98" s="417" t="str">
        <f>'Expenditure-24mths'!A98</f>
        <v>Marketing and BizDev</v>
      </c>
      <c r="B98" s="393"/>
      <c r="C98" s="397"/>
      <c r="D98" s="397"/>
      <c r="E98" s="388"/>
      <c r="F98" s="388"/>
      <c r="G98" s="444"/>
    </row>
    <row r="99" spans="1:27" s="355" customFormat="1" x14ac:dyDescent="0.2">
      <c r="A99" s="392" t="str">
        <f>'Expenditure-24mths'!A99</f>
        <v>Sales &amp; marketing expenses</v>
      </c>
      <c r="B99" s="393"/>
      <c r="C99" s="394"/>
      <c r="D99" s="418"/>
      <c r="E99" s="418"/>
      <c r="F99" s="418"/>
      <c r="G99" s="454"/>
      <c r="H99" s="450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</row>
    <row r="100" spans="1:27" s="355" customFormat="1" x14ac:dyDescent="0.2">
      <c r="A100" s="379" t="str">
        <f>'Expenditure-24mths'!A100</f>
        <v>Partnership Development</v>
      </c>
      <c r="B100" s="393">
        <f>'Expenditure-24mths'!B100</f>
        <v>15000</v>
      </c>
      <c r="C100" s="394"/>
      <c r="D100" s="418"/>
      <c r="E100" s="400">
        <v>2</v>
      </c>
      <c r="F100" s="400">
        <v>2</v>
      </c>
      <c r="G100" s="448">
        <v>3</v>
      </c>
      <c r="H100" s="450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</row>
    <row r="101" spans="1:27" s="355" customFormat="1" x14ac:dyDescent="0.2">
      <c r="A101" s="379" t="str">
        <f>'Expenditure-24mths'!A101</f>
        <v>General</v>
      </c>
      <c r="B101" s="393">
        <f>'Expenditure-24mths'!B101</f>
        <v>7000</v>
      </c>
      <c r="C101" s="394"/>
      <c r="D101" s="418"/>
      <c r="E101" s="400">
        <v>2</v>
      </c>
      <c r="F101" s="400">
        <v>2</v>
      </c>
      <c r="G101" s="448">
        <v>3</v>
      </c>
      <c r="H101" s="450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</row>
    <row r="102" spans="1:27" s="355" customFormat="1" x14ac:dyDescent="0.2">
      <c r="A102" s="392" t="str">
        <f>'Expenditure-24mths'!A102</f>
        <v>Advertising</v>
      </c>
      <c r="B102" s="388"/>
      <c r="C102" s="418"/>
      <c r="D102" s="418"/>
      <c r="E102" s="418"/>
      <c r="F102" s="418"/>
      <c r="G102" s="454"/>
      <c r="H102" s="450"/>
    </row>
    <row r="103" spans="1:27" x14ac:dyDescent="0.2">
      <c r="A103" s="379" t="str">
        <f>'Expenditure-24mths'!A103</f>
        <v>Tradeshow</v>
      </c>
      <c r="B103" s="393">
        <f>'Expenditure-24mths'!B103</f>
        <v>3000</v>
      </c>
      <c r="C103" s="394"/>
      <c r="D103" s="418"/>
      <c r="E103" s="400">
        <v>2</v>
      </c>
      <c r="F103" s="400">
        <v>2</v>
      </c>
      <c r="G103" s="448">
        <v>3</v>
      </c>
      <c r="H103" s="450"/>
      <c r="N103" s="332"/>
      <c r="U103" s="332"/>
    </row>
    <row r="104" spans="1:27" x14ac:dyDescent="0.2">
      <c r="A104" s="379" t="str">
        <f>'Expenditure-24mths'!A104</f>
        <v>Print</v>
      </c>
      <c r="B104" s="393">
        <f>'Expenditure-24mths'!B104</f>
        <v>1000</v>
      </c>
      <c r="C104" s="394"/>
      <c r="D104" s="418"/>
      <c r="E104" s="400">
        <v>2</v>
      </c>
      <c r="F104" s="400">
        <v>2</v>
      </c>
      <c r="G104" s="448">
        <v>3</v>
      </c>
      <c r="H104" s="450"/>
      <c r="N104" s="332"/>
      <c r="U104" s="332"/>
    </row>
    <row r="105" spans="1:27" x14ac:dyDescent="0.2">
      <c r="A105" s="392" t="str">
        <f>'Expenditure-24mths'!A105</f>
        <v>Online</v>
      </c>
      <c r="B105" s="368"/>
      <c r="C105" s="418"/>
      <c r="D105" s="418"/>
      <c r="E105" s="418"/>
      <c r="F105" s="418"/>
      <c r="G105" s="454"/>
      <c r="H105" s="450"/>
    </row>
    <row r="106" spans="1:27" x14ac:dyDescent="0.2">
      <c r="A106" s="379" t="str">
        <f>'Expenditure-24mths'!A106</f>
        <v>Social media marketing</v>
      </c>
      <c r="B106" s="347">
        <f>'Expenditure-24mths'!B106</f>
        <v>0.05</v>
      </c>
      <c r="C106" s="418"/>
      <c r="D106" s="418"/>
      <c r="E106" s="418"/>
      <c r="F106" s="418"/>
      <c r="G106" s="454"/>
      <c r="H106" s="450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</row>
    <row r="107" spans="1:27" x14ac:dyDescent="0.2">
      <c r="A107" s="379" t="str">
        <f>'Expenditure-24mths'!A107</f>
        <v>Banner add/website</v>
      </c>
      <c r="B107" s="393">
        <f>'Expenditure-24mths'!B107</f>
        <v>1000</v>
      </c>
      <c r="C107" s="394"/>
      <c r="D107" s="418"/>
      <c r="E107" s="400">
        <v>2</v>
      </c>
      <c r="F107" s="400">
        <v>2</v>
      </c>
      <c r="G107" s="448">
        <v>3</v>
      </c>
      <c r="H107" s="450"/>
      <c r="N107" s="332"/>
      <c r="U107" s="332"/>
    </row>
    <row r="108" spans="1:27" x14ac:dyDescent="0.2">
      <c r="A108" s="417" t="str">
        <f>'Expenditure-24mths'!A108</f>
        <v>R&amp;D</v>
      </c>
      <c r="B108" s="393">
        <f>'Expenditure-24mths'!B108</f>
        <v>80000</v>
      </c>
      <c r="C108" s="394"/>
      <c r="D108" s="418"/>
      <c r="E108" s="400">
        <v>2</v>
      </c>
      <c r="F108" s="400">
        <v>2</v>
      </c>
      <c r="G108" s="448">
        <v>3</v>
      </c>
      <c r="H108" s="450"/>
      <c r="R108" s="332"/>
    </row>
    <row r="109" spans="1:27" x14ac:dyDescent="0.2">
      <c r="A109" s="417" t="str">
        <f>'Expenditure-24mths'!A109</f>
        <v>Other SG&amp;A</v>
      </c>
      <c r="B109" s="393"/>
      <c r="C109" s="397"/>
      <c r="D109" s="397"/>
      <c r="E109" s="388"/>
      <c r="F109" s="388"/>
      <c r="G109" s="444"/>
    </row>
    <row r="110" spans="1:27" x14ac:dyDescent="0.2">
      <c r="A110" s="379" t="str">
        <f>'Expenditure-24mths'!A110</f>
        <v>Office utilities</v>
      </c>
      <c r="B110" s="393">
        <f>'Expenditure-24mths'!B110*12</f>
        <v>12000</v>
      </c>
      <c r="C110" s="394"/>
      <c r="D110" s="418"/>
      <c r="E110" s="400">
        <v>2</v>
      </c>
      <c r="F110" s="400">
        <v>3</v>
      </c>
      <c r="G110" s="448">
        <v>4</v>
      </c>
      <c r="H110" s="450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</row>
    <row r="111" spans="1:27" s="377" customFormat="1" x14ac:dyDescent="0.2">
      <c r="A111" s="406" t="str">
        <f>'Expenditure-24mths'!A111</f>
        <v>Lab utilities</v>
      </c>
      <c r="B111" s="407">
        <v>24000</v>
      </c>
      <c r="C111" s="402"/>
      <c r="D111" s="402"/>
      <c r="E111" s="403"/>
      <c r="F111" s="403"/>
      <c r="G111" s="449"/>
      <c r="H111" s="371"/>
      <c r="I111" s="371"/>
      <c r="J111" s="371"/>
      <c r="K111" s="371"/>
      <c r="L111" s="371"/>
      <c r="M111" s="371"/>
      <c r="N111" s="371"/>
      <c r="O111" s="371"/>
      <c r="P111" s="371"/>
      <c r="Q111" s="371"/>
      <c r="R111" s="371"/>
      <c r="S111" s="371"/>
      <c r="T111" s="371"/>
      <c r="U111" s="371"/>
      <c r="V111" s="371"/>
      <c r="W111" s="371"/>
      <c r="X111" s="371"/>
      <c r="Y111" s="371"/>
      <c r="Z111" s="371"/>
      <c r="AA111" s="371"/>
    </row>
    <row r="112" spans="1:27" x14ac:dyDescent="0.2">
      <c r="A112" s="379" t="str">
        <f>'Expenditure-24mths'!A112</f>
        <v>Office rental</v>
      </c>
      <c r="B112" s="393">
        <f>'Expenditure-24mths'!B112*12</f>
        <v>42000</v>
      </c>
      <c r="C112" s="394"/>
      <c r="D112" s="394"/>
      <c r="E112" s="400">
        <v>2</v>
      </c>
      <c r="F112" s="400">
        <v>2</v>
      </c>
      <c r="G112" s="448">
        <v>2</v>
      </c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</row>
    <row r="113" spans="1:27" s="377" customFormat="1" x14ac:dyDescent="0.2">
      <c r="A113" s="406" t="str">
        <f>'Expenditure-24mths'!A113</f>
        <v>Lab rental</v>
      </c>
      <c r="B113" s="407">
        <v>24000</v>
      </c>
      <c r="C113" s="402"/>
      <c r="D113" s="402"/>
      <c r="E113" s="403"/>
      <c r="F113" s="403"/>
      <c r="G113" s="449"/>
      <c r="H113" s="371"/>
      <c r="I113" s="371"/>
      <c r="J113" s="371"/>
      <c r="K113" s="371"/>
      <c r="L113" s="371"/>
      <c r="M113" s="371"/>
      <c r="N113" s="371"/>
      <c r="O113" s="371"/>
      <c r="P113" s="371"/>
      <c r="Q113" s="371"/>
      <c r="R113" s="371"/>
      <c r="S113" s="371"/>
      <c r="T113" s="371"/>
      <c r="U113" s="371"/>
      <c r="V113" s="371"/>
      <c r="W113" s="371"/>
      <c r="X113" s="371"/>
      <c r="Y113" s="371"/>
      <c r="Z113" s="371"/>
      <c r="AA113" s="371"/>
    </row>
    <row r="114" spans="1:27" s="377" customFormat="1" x14ac:dyDescent="0.2">
      <c r="A114" s="406" t="str">
        <f>'Expenditure-24mths'!A114</f>
        <v>Equipment maintenance</v>
      </c>
      <c r="B114" s="407">
        <v>24000</v>
      </c>
      <c r="C114" s="402"/>
      <c r="D114" s="402"/>
      <c r="E114" s="403"/>
      <c r="F114" s="403"/>
      <c r="G114" s="449"/>
      <c r="H114" s="371"/>
      <c r="I114" s="371"/>
      <c r="J114" s="371"/>
      <c r="K114" s="371"/>
      <c r="L114" s="371"/>
      <c r="M114" s="371"/>
      <c r="N114" s="371"/>
      <c r="O114" s="371"/>
      <c r="P114" s="371"/>
      <c r="Q114" s="371"/>
      <c r="R114" s="371"/>
      <c r="S114" s="371"/>
      <c r="T114" s="371"/>
      <c r="U114" s="371"/>
      <c r="V114" s="371"/>
      <c r="W114" s="371"/>
      <c r="X114" s="371"/>
      <c r="Y114" s="371"/>
      <c r="Z114" s="371"/>
      <c r="AA114" s="371"/>
    </row>
    <row r="115" spans="1:27" x14ac:dyDescent="0.2">
      <c r="A115" s="379" t="str">
        <f>'Expenditure-24mths'!A115</f>
        <v>Printing/stationery</v>
      </c>
      <c r="B115" s="393">
        <f>'Expenditure-24mths'!B115*12</f>
        <v>2400</v>
      </c>
      <c r="C115" s="394"/>
      <c r="D115" s="418"/>
      <c r="E115" s="400">
        <v>2</v>
      </c>
      <c r="F115" s="400">
        <v>3</v>
      </c>
      <c r="G115" s="400">
        <v>4</v>
      </c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</row>
    <row r="116" spans="1:27" x14ac:dyDescent="0.2">
      <c r="A116" s="379" t="str">
        <f>'Expenditure-24mths'!A116</f>
        <v>Postage</v>
      </c>
      <c r="B116" s="393">
        <f>'Expenditure-24mths'!B116*12</f>
        <v>2400</v>
      </c>
      <c r="C116" s="394"/>
      <c r="D116" s="418"/>
      <c r="E116" s="400">
        <v>2</v>
      </c>
      <c r="F116" s="400">
        <v>3</v>
      </c>
      <c r="G116" s="400">
        <v>4</v>
      </c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</row>
    <row r="117" spans="1:27" x14ac:dyDescent="0.2">
      <c r="A117" s="379" t="str">
        <f>'Expenditure-24mths'!A117</f>
        <v>Internet/telephone/fax</v>
      </c>
      <c r="B117" s="393">
        <f>'Expenditure-24mths'!B117*12</f>
        <v>12000</v>
      </c>
      <c r="C117" s="394"/>
      <c r="D117" s="418"/>
      <c r="E117" s="400">
        <v>2</v>
      </c>
      <c r="F117" s="400">
        <v>3</v>
      </c>
      <c r="G117" s="400">
        <v>4</v>
      </c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</row>
    <row r="118" spans="1:27" x14ac:dyDescent="0.2">
      <c r="A118" s="379" t="str">
        <f>'Expenditure-24mths'!A118</f>
        <v>Local transport</v>
      </c>
      <c r="B118" s="393">
        <f>'Expenditure-24mths'!B118*12</f>
        <v>3600</v>
      </c>
      <c r="C118" s="397"/>
      <c r="D118" s="397"/>
      <c r="E118" s="397">
        <f>SUM(Manpower!D5:D8)</f>
        <v>8</v>
      </c>
      <c r="F118" s="397">
        <f>SUM(Manpower!E5:E8)</f>
        <v>10</v>
      </c>
      <c r="G118" s="456">
        <f>SUM(Manpower!F5:F8)</f>
        <v>13</v>
      </c>
      <c r="N118" s="447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</row>
    <row r="119" spans="1:27" x14ac:dyDescent="0.2">
      <c r="A119" s="379" t="str">
        <f>'Expenditure-24mths'!A119</f>
        <v>Software license</v>
      </c>
      <c r="B119" s="393">
        <f>'Expenditure-24mths'!B119</f>
        <v>12680</v>
      </c>
      <c r="C119" s="394"/>
      <c r="D119" s="397"/>
      <c r="E119" s="388"/>
      <c r="F119" s="388"/>
      <c r="G119" s="444"/>
      <c r="H119" s="450"/>
    </row>
    <row r="120" spans="1:27" x14ac:dyDescent="0.2">
      <c r="A120" s="379" t="str">
        <f>'Expenditure-24mths'!A120</f>
        <v>Upfront licensing fee</v>
      </c>
      <c r="B120" s="393">
        <f>'Expenditure-24mths'!B120</f>
        <v>12680</v>
      </c>
      <c r="C120" s="394"/>
      <c r="D120" s="397"/>
      <c r="E120" s="388"/>
      <c r="F120" s="388"/>
      <c r="G120" s="444"/>
    </row>
    <row r="121" spans="1:27" x14ac:dyDescent="0.2">
      <c r="A121" s="379" t="str">
        <f>'Expenditure-24mths'!A121</f>
        <v>Miscellaneous</v>
      </c>
      <c r="B121" s="393">
        <f>'Expenditure-24mths'!B121*12</f>
        <v>1200</v>
      </c>
      <c r="C121" s="394"/>
      <c r="D121" s="418"/>
      <c r="E121" s="400">
        <v>2</v>
      </c>
      <c r="F121" s="400">
        <v>3</v>
      </c>
      <c r="G121" s="448">
        <v>4</v>
      </c>
    </row>
    <row r="122" spans="1:27" s="377" customFormat="1" x14ac:dyDescent="0.2">
      <c r="A122" s="406" t="str">
        <f>'Expenditure-24mths'!A122</f>
        <v>HAS regulatory fee</v>
      </c>
      <c r="B122" s="407">
        <v>2000</v>
      </c>
      <c r="C122" s="402"/>
      <c r="D122" s="402"/>
      <c r="E122" s="403"/>
      <c r="F122" s="403"/>
      <c r="G122" s="449"/>
      <c r="H122" s="371"/>
      <c r="I122" s="371"/>
      <c r="J122" s="371"/>
      <c r="K122" s="371"/>
      <c r="L122" s="371"/>
      <c r="M122" s="371"/>
      <c r="N122" s="371"/>
      <c r="O122" s="371"/>
      <c r="P122" s="371"/>
      <c r="Q122" s="371"/>
      <c r="R122" s="371"/>
      <c r="S122" s="371"/>
      <c r="T122" s="371"/>
      <c r="U122" s="371"/>
      <c r="V122" s="371"/>
      <c r="W122" s="371"/>
      <c r="X122" s="371"/>
      <c r="Y122" s="371"/>
      <c r="Z122" s="371"/>
      <c r="AA122" s="371"/>
    </row>
    <row r="123" spans="1:27" x14ac:dyDescent="0.2">
      <c r="A123" s="417" t="str">
        <f>'Expenditure-24mths'!A123</f>
        <v>Other COGS</v>
      </c>
      <c r="B123" s="375"/>
      <c r="C123" s="397"/>
      <c r="D123" s="397"/>
      <c r="E123" s="388"/>
      <c r="F123" s="388"/>
      <c r="G123" s="444"/>
    </row>
    <row r="124" spans="1:27" x14ac:dyDescent="0.2">
      <c r="A124" s="392" t="str">
        <f>'Expenditure-24mths'!A124</f>
        <v>Royalty fee</v>
      </c>
      <c r="B124" s="421">
        <f>'Expenditure-24mths'!B124</f>
        <v>0.05</v>
      </c>
      <c r="C124" s="388"/>
      <c r="D124" s="388"/>
      <c r="E124" s="388"/>
      <c r="F124" s="388"/>
      <c r="G124" s="444"/>
    </row>
    <row r="125" spans="1:27" x14ac:dyDescent="0.2">
      <c r="A125" s="392" t="str">
        <f>'Expenditure-24mths'!A125</f>
        <v>Credit card &amp; payment processing fee</v>
      </c>
      <c r="B125" s="421">
        <f>'Expenditure-24mths'!B125</f>
        <v>0.05</v>
      </c>
      <c r="C125" s="394"/>
      <c r="D125" s="418"/>
      <c r="E125" s="418"/>
      <c r="F125" s="418"/>
      <c r="G125" s="454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</row>
    <row r="126" spans="1:27" ht="12.75" thickBot="1" x14ac:dyDescent="0.25">
      <c r="A126" s="422"/>
      <c r="B126" s="423"/>
      <c r="C126" s="424"/>
      <c r="D126" s="424"/>
      <c r="E126" s="424"/>
      <c r="F126" s="424"/>
      <c r="G126" s="457"/>
    </row>
    <row r="127" spans="1:27" x14ac:dyDescent="0.2">
      <c r="A127" s="366"/>
      <c r="B127" s="366"/>
    </row>
    <row r="128" spans="1:27" x14ac:dyDescent="0.2">
      <c r="A128" s="330"/>
      <c r="B128" s="330"/>
    </row>
    <row r="129" spans="1:7" x14ac:dyDescent="0.2">
      <c r="A129" s="324" t="s">
        <v>437</v>
      </c>
      <c r="B129" s="347">
        <f>'Expenditure-24mths'!B129</f>
        <v>0.05</v>
      </c>
      <c r="C129" s="427"/>
    </row>
    <row r="130" spans="1:7" x14ac:dyDescent="0.2">
      <c r="A130" s="330"/>
      <c r="B130" s="330"/>
      <c r="D130" s="355"/>
    </row>
    <row r="131" spans="1:7" x14ac:dyDescent="0.2">
      <c r="A131" s="324" t="s">
        <v>441</v>
      </c>
      <c r="B131" s="324"/>
      <c r="D131" s="332"/>
      <c r="E131" s="331">
        <v>2</v>
      </c>
      <c r="F131" s="331">
        <v>3</v>
      </c>
      <c r="G131" s="331">
        <v>4</v>
      </c>
    </row>
    <row r="132" spans="1:7" x14ac:dyDescent="0.2">
      <c r="A132" s="324"/>
      <c r="B132" s="324"/>
      <c r="D132" s="355"/>
    </row>
    <row r="133" spans="1:7" x14ac:dyDescent="0.2">
      <c r="A133" s="324"/>
      <c r="B133" s="324"/>
    </row>
    <row r="134" spans="1:7" x14ac:dyDescent="0.2">
      <c r="A134" s="330"/>
      <c r="B134" s="330"/>
    </row>
    <row r="135" spans="1:7" x14ac:dyDescent="0.2">
      <c r="A135" s="324"/>
      <c r="B135" s="324"/>
    </row>
    <row r="136" spans="1:7" ht="12" customHeight="1" x14ac:dyDescent="0.2">
      <c r="A136" s="428"/>
      <c r="B136" s="428"/>
    </row>
    <row r="137" spans="1:7" ht="12" customHeight="1" x14ac:dyDescent="0.2">
      <c r="A137" s="428"/>
      <c r="B137" s="428"/>
    </row>
    <row r="138" spans="1:7" ht="12" customHeight="1" x14ac:dyDescent="0.2">
      <c r="A138" s="428"/>
      <c r="B138" s="428"/>
    </row>
    <row r="139" spans="1:7" x14ac:dyDescent="0.2">
      <c r="A139" s="428"/>
      <c r="B139" s="428"/>
    </row>
    <row r="140" spans="1:7" x14ac:dyDescent="0.2">
      <c r="A140" s="428"/>
      <c r="B140" s="428"/>
    </row>
    <row r="141" spans="1:7" x14ac:dyDescent="0.2">
      <c r="A141" s="428"/>
      <c r="B141" s="428"/>
    </row>
    <row r="143" spans="1:7" x14ac:dyDescent="0.2">
      <c r="A143" s="366"/>
      <c r="B143" s="366"/>
    </row>
    <row r="144" spans="1:7" x14ac:dyDescent="0.2">
      <c r="A144" s="381"/>
      <c r="B144" s="381"/>
    </row>
    <row r="145" spans="1:2" x14ac:dyDescent="0.2">
      <c r="A145" s="381"/>
      <c r="B145" s="381"/>
    </row>
    <row r="146" spans="1:2" x14ac:dyDescent="0.2">
      <c r="A146" s="381"/>
      <c r="B146" s="381"/>
    </row>
    <row r="147" spans="1:2" x14ac:dyDescent="0.2">
      <c r="A147" s="381"/>
      <c r="B147" s="381"/>
    </row>
    <row r="148" spans="1:2" x14ac:dyDescent="0.2">
      <c r="A148" s="330"/>
      <c r="B148" s="330"/>
    </row>
    <row r="149" spans="1:2" x14ac:dyDescent="0.2">
      <c r="A149" s="330"/>
      <c r="B149" s="330"/>
    </row>
    <row r="150" spans="1:2" x14ac:dyDescent="0.2">
      <c r="A150" s="330"/>
      <c r="B150" s="330"/>
    </row>
    <row r="151" spans="1:2" x14ac:dyDescent="0.2">
      <c r="A151" s="368"/>
      <c r="B151" s="368"/>
    </row>
    <row r="152" spans="1:2" x14ac:dyDescent="0.2">
      <c r="A152" s="366"/>
      <c r="B152" s="366"/>
    </row>
    <row r="153" spans="1:2" x14ac:dyDescent="0.2">
      <c r="A153" s="366"/>
      <c r="B153" s="366"/>
    </row>
    <row r="154" spans="1:2" x14ac:dyDescent="0.2">
      <c r="A154" s="330"/>
      <c r="B154" s="330"/>
    </row>
    <row r="155" spans="1:2" x14ac:dyDescent="0.2">
      <c r="A155" s="368"/>
      <c r="B155" s="368"/>
    </row>
    <row r="156" spans="1:2" x14ac:dyDescent="0.2">
      <c r="A156" s="324"/>
      <c r="B156" s="32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T130"/>
  <sheetViews>
    <sheetView zoomScale="90" zoomScaleNormal="90" workbookViewId="0">
      <selection activeCell="F10" sqref="F10"/>
    </sheetView>
  </sheetViews>
  <sheetFormatPr defaultRowHeight="12.75" x14ac:dyDescent="0.2"/>
  <cols>
    <col min="1" max="1" width="53.85546875" style="116" customWidth="1"/>
    <col min="2" max="2" width="16.28515625" style="116" customWidth="1"/>
    <col min="3" max="3" width="15.5703125" style="116" customWidth="1"/>
    <col min="4" max="4" width="16.28515625" style="116" customWidth="1"/>
    <col min="5" max="5" width="14.85546875" style="116" customWidth="1"/>
    <col min="6" max="6" width="13.85546875" style="116" customWidth="1"/>
    <col min="7" max="7" width="15" style="116" bestFit="1" customWidth="1"/>
    <col min="8" max="8" width="5.140625" style="116" customWidth="1"/>
    <col min="9" max="9" width="15" style="116" bestFit="1" customWidth="1"/>
    <col min="10" max="10" width="5.28515625" style="116" customWidth="1"/>
    <col min="11" max="11" width="15" style="116" bestFit="1" customWidth="1"/>
    <col min="12" max="12" width="3.85546875" style="116" customWidth="1"/>
    <col min="13" max="20" width="15" style="116" bestFit="1" customWidth="1"/>
    <col min="21" max="16384" width="9.140625" style="116"/>
  </cols>
  <sheetData>
    <row r="1" spans="1:20" ht="12" customHeight="1" x14ac:dyDescent="0.2">
      <c r="A1" s="255" t="s">
        <v>253</v>
      </c>
    </row>
    <row r="2" spans="1:20" ht="15" customHeight="1" x14ac:dyDescent="0.2">
      <c r="A2" s="186" t="s">
        <v>252</v>
      </c>
      <c r="B2" s="187"/>
      <c r="C2" s="187"/>
      <c r="D2" s="187"/>
      <c r="E2" s="187"/>
      <c r="F2" s="187"/>
      <c r="G2" s="18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5" customHeight="1" x14ac:dyDescent="0.2">
      <c r="A3" s="186"/>
      <c r="B3" s="288">
        <f>B7</f>
        <v>40178</v>
      </c>
      <c r="C3" s="288">
        <f>C7</f>
        <v>40543</v>
      </c>
      <c r="D3" s="288">
        <f>D7</f>
        <v>40908</v>
      </c>
      <c r="E3" s="288">
        <f>E7</f>
        <v>41273</v>
      </c>
      <c r="F3" s="288">
        <f>F7</f>
        <v>41638</v>
      </c>
      <c r="G3" s="18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5" customHeight="1" x14ac:dyDescent="0.2">
      <c r="A4" s="278" t="s">
        <v>284</v>
      </c>
      <c r="B4" s="279">
        <v>1</v>
      </c>
      <c r="C4" s="279">
        <v>1</v>
      </c>
      <c r="D4" s="279">
        <v>1</v>
      </c>
      <c r="E4" s="279">
        <v>1</v>
      </c>
      <c r="F4" s="279">
        <v>1</v>
      </c>
      <c r="G4" s="18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</row>
    <row r="5" spans="1:20" ht="15" customHeight="1" x14ac:dyDescent="0.2">
      <c r="A5" s="186"/>
      <c r="B5" s="187"/>
      <c r="C5" s="187"/>
      <c r="D5" s="187"/>
      <c r="E5" s="187"/>
      <c r="F5" s="187"/>
      <c r="G5" s="18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ht="15" customHeight="1" x14ac:dyDescent="0.2">
      <c r="A6" s="254" t="s">
        <v>281</v>
      </c>
      <c r="B6" s="187"/>
      <c r="C6" s="187"/>
      <c r="D6" s="187"/>
      <c r="E6" s="187"/>
      <c r="F6" s="187"/>
      <c r="G6" s="18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0" ht="18.75" customHeight="1" thickBot="1" x14ac:dyDescent="0.25">
      <c r="A7" s="189"/>
      <c r="B7" s="190">
        <f>Inputs!C7</f>
        <v>40178</v>
      </c>
      <c r="C7" s="190">
        <f>Inputs!D7</f>
        <v>40543</v>
      </c>
      <c r="D7" s="190">
        <f>Inputs!E7</f>
        <v>40908</v>
      </c>
      <c r="E7" s="190">
        <f>Inputs!F7</f>
        <v>41273</v>
      </c>
      <c r="F7" s="190">
        <f>Inputs!G7</f>
        <v>41638</v>
      </c>
      <c r="G7" s="251" t="s">
        <v>166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ht="12.75" customHeight="1" x14ac:dyDescent="0.2">
      <c r="A8" s="213" t="s">
        <v>154</v>
      </c>
      <c r="B8" s="252">
        <f>Expenditure!C6</f>
        <v>830400</v>
      </c>
      <c r="C8" s="252">
        <f>Expenditure!D6</f>
        <v>1089600</v>
      </c>
      <c r="D8" s="252">
        <f>Expenditure!E6</f>
        <v>1947989.2611374997</v>
      </c>
      <c r="E8" s="252">
        <f>Expenditure!F6</f>
        <v>2720401.089928593</v>
      </c>
      <c r="F8" s="252">
        <f>Expenditure!G6</f>
        <v>3761297.2699094699</v>
      </c>
      <c r="G8" s="187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ht="12.75" customHeight="1" x14ac:dyDescent="0.2">
      <c r="A9" s="191" t="s">
        <v>254</v>
      </c>
      <c r="B9" s="252"/>
      <c r="C9" s="477">
        <f>(C8/B8)-1</f>
        <v>0.31213872832369938</v>
      </c>
      <c r="D9" s="477">
        <f>(D8/C8)-1</f>
        <v>0.78780218533177293</v>
      </c>
      <c r="E9" s="477">
        <f>(E8/D8)-1</f>
        <v>0.39651749842812523</v>
      </c>
      <c r="F9" s="477">
        <f>(F8/E8)-1</f>
        <v>0.38262599725991109</v>
      </c>
      <c r="G9" s="187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</row>
    <row r="10" spans="1:20" ht="12.75" customHeight="1" x14ac:dyDescent="0.2">
      <c r="A10" s="191" t="s">
        <v>255</v>
      </c>
      <c r="B10" s="194">
        <v>0.8</v>
      </c>
      <c r="C10" s="194">
        <v>0.8</v>
      </c>
      <c r="D10" s="194">
        <v>0.8</v>
      </c>
      <c r="E10" s="194">
        <v>0.8</v>
      </c>
      <c r="F10" s="194">
        <v>0.8</v>
      </c>
      <c r="G10" s="187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</row>
    <row r="11" spans="1:20" ht="12.75" customHeight="1" x14ac:dyDescent="0.2">
      <c r="A11" s="191" t="s">
        <v>271</v>
      </c>
      <c r="B11" s="195">
        <f>B8*B10</f>
        <v>664320</v>
      </c>
      <c r="C11" s="195">
        <f>C8*C10</f>
        <v>871680</v>
      </c>
      <c r="D11" s="195">
        <f>D8*D10</f>
        <v>1558391.4089099998</v>
      </c>
      <c r="E11" s="195">
        <f>E8*E10</f>
        <v>2176320.8719428745</v>
      </c>
      <c r="F11" s="195">
        <f>F8*F10</f>
        <v>3009037.8159275763</v>
      </c>
      <c r="G11" s="18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ht="12.75" customHeight="1" x14ac:dyDescent="0.2">
      <c r="A12" s="191" t="s">
        <v>272</v>
      </c>
      <c r="B12" s="195">
        <f>B8-B11</f>
        <v>166080</v>
      </c>
      <c r="C12" s="195">
        <f>C8-C11</f>
        <v>217920</v>
      </c>
      <c r="D12" s="195">
        <f>D8-D11</f>
        <v>389597.85222749994</v>
      </c>
      <c r="E12" s="195">
        <f>E8-E11</f>
        <v>544080.21798571851</v>
      </c>
      <c r="F12" s="196">
        <f>F8-F11</f>
        <v>752259.4539818936</v>
      </c>
      <c r="G12" s="197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</row>
    <row r="13" spans="1:20" ht="12.75" customHeight="1" x14ac:dyDescent="0.2">
      <c r="A13" s="213" t="s">
        <v>159</v>
      </c>
      <c r="B13" s="252">
        <f>Expenditure!C7</f>
        <v>47558</v>
      </c>
      <c r="C13" s="252">
        <f>Expenditure!D7</f>
        <v>13458</v>
      </c>
      <c r="D13" s="252">
        <f>Expenditure!E7</f>
        <v>36158</v>
      </c>
      <c r="E13" s="252">
        <f>Expenditure!F7</f>
        <v>62258</v>
      </c>
      <c r="F13" s="252">
        <f>Expenditure!G7</f>
        <v>38108</v>
      </c>
      <c r="G13" s="187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</row>
    <row r="14" spans="1:20" ht="12.75" customHeight="1" x14ac:dyDescent="0.2">
      <c r="A14" s="191" t="s">
        <v>256</v>
      </c>
      <c r="B14" s="478">
        <f>B15/B13</f>
        <v>0.68459565162538372</v>
      </c>
      <c r="C14" s="478">
        <f>C15/C13</f>
        <v>1</v>
      </c>
      <c r="D14" s="478">
        <f>D15/D13</f>
        <v>1</v>
      </c>
      <c r="E14" s="478">
        <f>E15/E13</f>
        <v>0.51813421568312501</v>
      </c>
      <c r="F14" s="478">
        <f>F15/F13</f>
        <v>1</v>
      </c>
      <c r="G14" s="187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</row>
    <row r="15" spans="1:20" ht="12.75" customHeight="1" x14ac:dyDescent="0.2">
      <c r="A15" s="191" t="s">
        <v>257</v>
      </c>
      <c r="B15" s="195">
        <f>Expenditure!C8</f>
        <v>32558</v>
      </c>
      <c r="C15" s="195">
        <f>Expenditure!D8</f>
        <v>13458</v>
      </c>
      <c r="D15" s="195">
        <f>Expenditure!E8</f>
        <v>36158</v>
      </c>
      <c r="E15" s="195">
        <f>Expenditure!F8</f>
        <v>32258</v>
      </c>
      <c r="F15" s="195">
        <f>Expenditure!G8</f>
        <v>38108</v>
      </c>
      <c r="G15" s="18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</row>
    <row r="16" spans="1:20" ht="12.75" customHeight="1" x14ac:dyDescent="0.2">
      <c r="A16" s="191" t="s">
        <v>258</v>
      </c>
      <c r="B16" s="198">
        <f>B13-B15</f>
        <v>15000</v>
      </c>
      <c r="C16" s="198">
        <f>C13-C15</f>
        <v>0</v>
      </c>
      <c r="D16" s="198">
        <f>D13-D15</f>
        <v>0</v>
      </c>
      <c r="E16" s="198">
        <f>E13-E15</f>
        <v>30000</v>
      </c>
      <c r="F16" s="199">
        <f>F13-F15</f>
        <v>0</v>
      </c>
      <c r="G16" s="187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ht="12.75" customHeight="1" x14ac:dyDescent="0.2">
      <c r="A17" s="213" t="s">
        <v>160</v>
      </c>
      <c r="B17" s="252">
        <f>Expenditure!C25</f>
        <v>37700</v>
      </c>
      <c r="C17" s="252">
        <f>Expenditure!D25</f>
        <v>37000</v>
      </c>
      <c r="D17" s="252">
        <f>Expenditure!E25</f>
        <v>51500</v>
      </c>
      <c r="E17" s="252">
        <f>Expenditure!F25</f>
        <v>86000</v>
      </c>
      <c r="F17" s="252">
        <f>Expenditure!G25</f>
        <v>61500</v>
      </c>
      <c r="G17" s="200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ht="12.75" customHeight="1" x14ac:dyDescent="0.2">
      <c r="A18" s="213" t="s">
        <v>161</v>
      </c>
      <c r="B18" s="252">
        <f>Expenditure!C33</f>
        <v>52000</v>
      </c>
      <c r="C18" s="252">
        <f>Expenditure!D33</f>
        <v>111000</v>
      </c>
      <c r="D18" s="252">
        <f>Expenditure!E33</f>
        <v>214000</v>
      </c>
      <c r="E18" s="252">
        <f>Expenditure!F33</f>
        <v>591400</v>
      </c>
      <c r="F18" s="252">
        <f>Expenditure!G33</f>
        <v>1886700</v>
      </c>
      <c r="G18" s="23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</row>
    <row r="19" spans="1:20" ht="12.75" customHeight="1" x14ac:dyDescent="0.2">
      <c r="A19" s="213" t="s">
        <v>162</v>
      </c>
      <c r="B19" s="252">
        <f>Expenditure!C43</f>
        <v>80000</v>
      </c>
      <c r="C19" s="252">
        <f>Expenditure!D43</f>
        <v>80000</v>
      </c>
      <c r="D19" s="252">
        <f>Expenditure!E43</f>
        <v>176400</v>
      </c>
      <c r="E19" s="252">
        <f>Expenditure!F43</f>
        <v>185300</v>
      </c>
      <c r="F19" s="252">
        <f>Expenditure!G43</f>
        <v>291800</v>
      </c>
      <c r="G19" s="193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</row>
    <row r="20" spans="1:20" ht="12.75" customHeight="1" x14ac:dyDescent="0.2">
      <c r="A20" s="213" t="s">
        <v>171</v>
      </c>
      <c r="B20" s="287">
        <f>Expenditure!C44</f>
        <v>111760</v>
      </c>
      <c r="C20" s="287">
        <f>Expenditure!D44</f>
        <v>90000</v>
      </c>
      <c r="D20" s="287">
        <f>Expenditure!E44</f>
        <v>172800</v>
      </c>
      <c r="E20" s="287">
        <f>Expenditure!F44</f>
        <v>210000</v>
      </c>
      <c r="F20" s="287">
        <f>Expenditure!G44</f>
        <v>250800</v>
      </c>
      <c r="G20" s="200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ht="12.75" customHeight="1" thickBot="1" x14ac:dyDescent="0.25">
      <c r="A21" s="283" t="s">
        <v>170</v>
      </c>
      <c r="B21" s="479">
        <f>Expenditure!C58</f>
        <v>50000</v>
      </c>
      <c r="C21" s="479">
        <f>Expenditure!D58</f>
        <v>168000</v>
      </c>
      <c r="D21" s="479">
        <f>Expenditure!E58</f>
        <v>319936</v>
      </c>
      <c r="E21" s="479">
        <f>Expenditure!F58</f>
        <v>1074784.9600000004</v>
      </c>
      <c r="F21" s="479">
        <f>Expenditure!G58</f>
        <v>3611313.4656000012</v>
      </c>
      <c r="G21" s="200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</row>
    <row r="22" spans="1:20" ht="12.75" customHeight="1" x14ac:dyDescent="0.2">
      <c r="A22" s="201" t="s">
        <v>172</v>
      </c>
      <c r="B22" s="282">
        <f>B12+B16+B17+B18+B19+B20</f>
        <v>462540</v>
      </c>
      <c r="C22" s="282">
        <f>C12+C16+C17+C18+C19+C20</f>
        <v>535920</v>
      </c>
      <c r="D22" s="282">
        <f>D12+D16+D17+D18+D19+D20</f>
        <v>1004297.8522274999</v>
      </c>
      <c r="E22" s="282">
        <f>E12+E16+E17+E18+E19+E20</f>
        <v>1646780.2179857185</v>
      </c>
      <c r="F22" s="282">
        <f>F12+F16+F17+F18+F19+F20</f>
        <v>3243059.4539818936</v>
      </c>
      <c r="G22" s="200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</row>
    <row r="23" spans="1:20" ht="12.75" customHeight="1" x14ac:dyDescent="0.2">
      <c r="A23" s="201" t="s">
        <v>173</v>
      </c>
      <c r="B23" s="282">
        <f>B11+B21</f>
        <v>714320</v>
      </c>
      <c r="C23" s="282">
        <f>C11+C21</f>
        <v>1039680</v>
      </c>
      <c r="D23" s="282">
        <f>D11+D21</f>
        <v>1878327.4089099998</v>
      </c>
      <c r="E23" s="282">
        <f>E11+E21</f>
        <v>3251105.8319428749</v>
      </c>
      <c r="F23" s="282">
        <f>F11+F21</f>
        <v>6620351.281527577</v>
      </c>
      <c r="G23" s="200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ht="12.75" customHeight="1" thickBot="1" x14ac:dyDescent="0.25">
      <c r="A24" s="284" t="s">
        <v>174</v>
      </c>
      <c r="B24" s="285">
        <f>B15</f>
        <v>32558</v>
      </c>
      <c r="C24" s="285">
        <f>C15</f>
        <v>13458</v>
      </c>
      <c r="D24" s="285">
        <f>D15</f>
        <v>36158</v>
      </c>
      <c r="E24" s="285">
        <f>E15</f>
        <v>32258</v>
      </c>
      <c r="F24" s="285">
        <f>F15</f>
        <v>38108</v>
      </c>
      <c r="G24" s="200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20" ht="12.75" customHeight="1" x14ac:dyDescent="0.2">
      <c r="A25" s="191" t="s">
        <v>283</v>
      </c>
      <c r="B25" s="287">
        <f>SUM(B22:B24)</f>
        <v>1209418</v>
      </c>
      <c r="C25" s="287">
        <f>SUM(C22:C24)</f>
        <v>1589058</v>
      </c>
      <c r="D25" s="287">
        <f>SUM(D22:D24)</f>
        <v>2918783.2611374995</v>
      </c>
      <c r="E25" s="287">
        <f>SUM(E22:E24)</f>
        <v>4930144.0499285934</v>
      </c>
      <c r="F25" s="287">
        <f>SUM(F22:F24)</f>
        <v>9901518.7355094701</v>
      </c>
      <c r="G25" s="200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1:20" ht="12.75" customHeight="1" x14ac:dyDescent="0.2">
      <c r="A26" s="480" t="s">
        <v>445</v>
      </c>
      <c r="B26" s="287">
        <f>B25-Expenditure!C61</f>
        <v>0</v>
      </c>
      <c r="C26" s="287">
        <f>C25-Expenditure!D61</f>
        <v>0</v>
      </c>
      <c r="D26" s="287">
        <f>D25-Expenditure!E61</f>
        <v>0</v>
      </c>
      <c r="E26" s="287">
        <f>E25-Expenditure!F61</f>
        <v>0</v>
      </c>
      <c r="F26" s="287">
        <f>F25-Expenditure!G61</f>
        <v>0</v>
      </c>
      <c r="G26" s="200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ht="12.75" customHeight="1" x14ac:dyDescent="0.2">
      <c r="A27" s="254" t="s">
        <v>282</v>
      </c>
      <c r="B27" s="287"/>
      <c r="C27" s="287"/>
      <c r="D27" s="287"/>
      <c r="E27" s="287"/>
      <c r="F27" s="287"/>
      <c r="G27" s="200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</row>
    <row r="28" spans="1:20" ht="12.75" customHeight="1" x14ac:dyDescent="0.2">
      <c r="A28" s="191"/>
      <c r="B28" s="287"/>
      <c r="C28" s="287"/>
      <c r="D28" s="287"/>
      <c r="E28" s="287"/>
      <c r="F28" s="287"/>
      <c r="G28" s="200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20" ht="12.75" customHeight="1" x14ac:dyDescent="0.2">
      <c r="A29" s="191" t="s">
        <v>18</v>
      </c>
      <c r="B29" s="287">
        <f>Inputs!C60</f>
        <v>500000</v>
      </c>
      <c r="C29" s="287">
        <f>Inputs!D60</f>
        <v>1680000.0000000002</v>
      </c>
      <c r="D29" s="287">
        <f>Inputs!E60</f>
        <v>3198720.0000000005</v>
      </c>
      <c r="E29" s="287">
        <f>Inputs!F60</f>
        <v>10747699.200000005</v>
      </c>
      <c r="F29" s="287">
        <f>Inputs!G60</f>
        <v>36112269.312000021</v>
      </c>
      <c r="G29" s="200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ht="12.75" customHeight="1" x14ac:dyDescent="0.2">
      <c r="A30" s="201" t="s">
        <v>276</v>
      </c>
      <c r="B30" s="282"/>
      <c r="C30" s="286">
        <f>(C29-B29)/B29</f>
        <v>2.3600000000000003</v>
      </c>
      <c r="D30" s="286">
        <f>(D29-C29)/C29</f>
        <v>0.90400000000000003</v>
      </c>
      <c r="E30" s="286">
        <f>(E29-D29)/D29</f>
        <v>2.3600000000000012</v>
      </c>
      <c r="F30" s="286">
        <f>(F29-E29)/E29</f>
        <v>2.3600000000000008</v>
      </c>
      <c r="G30" s="200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20" ht="12.75" customHeight="1" x14ac:dyDescent="0.2">
      <c r="A31" s="201" t="s">
        <v>277</v>
      </c>
      <c r="B31" s="282"/>
      <c r="C31" s="282">
        <f>C29-B29</f>
        <v>1180000.0000000002</v>
      </c>
      <c r="D31" s="282">
        <f>D29-C29</f>
        <v>1518720.0000000002</v>
      </c>
      <c r="E31" s="282">
        <f>E29-D29</f>
        <v>7548979.2000000048</v>
      </c>
      <c r="F31" s="282">
        <f>F29-E29</f>
        <v>25364570.112000018</v>
      </c>
      <c r="G31" s="200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20" ht="12.75" customHeight="1" x14ac:dyDescent="0.2">
      <c r="A32" s="201" t="s">
        <v>278</v>
      </c>
      <c r="B32" s="194">
        <v>0.4</v>
      </c>
      <c r="C32" s="194">
        <v>0.3</v>
      </c>
      <c r="D32" s="194">
        <v>0.2</v>
      </c>
      <c r="E32" s="194">
        <v>0.15</v>
      </c>
      <c r="F32" s="194">
        <v>0.1</v>
      </c>
      <c r="G32" s="200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ht="12.75" customHeight="1" x14ac:dyDescent="0.2">
      <c r="A33" s="201" t="s">
        <v>279</v>
      </c>
      <c r="B33" s="194">
        <v>0.5</v>
      </c>
      <c r="C33" s="194">
        <v>0.4</v>
      </c>
      <c r="D33" s="194">
        <v>0.3</v>
      </c>
      <c r="E33" s="194">
        <v>0.3</v>
      </c>
      <c r="F33" s="194">
        <v>0.3</v>
      </c>
      <c r="G33" s="200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2.75" customHeight="1" x14ac:dyDescent="0.2">
      <c r="A34" s="201" t="s">
        <v>280</v>
      </c>
      <c r="B34" s="194">
        <v>0.25</v>
      </c>
      <c r="C34" s="194">
        <v>0.2</v>
      </c>
      <c r="D34" s="194">
        <v>0.15</v>
      </c>
      <c r="E34" s="194">
        <v>0.15</v>
      </c>
      <c r="F34" s="194">
        <v>0.15</v>
      </c>
      <c r="G34" s="200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1:20" ht="12.75" customHeight="1" x14ac:dyDescent="0.2">
      <c r="A35" s="201" t="s">
        <v>274</v>
      </c>
      <c r="B35" s="282">
        <f>B29*B32</f>
        <v>200000</v>
      </c>
      <c r="C35" s="282">
        <f>C29*C32</f>
        <v>504000.00000000006</v>
      </c>
      <c r="D35" s="282">
        <f>D29*D32</f>
        <v>639744.00000000012</v>
      </c>
      <c r="E35" s="282">
        <f>E29*E32</f>
        <v>1612154.8800000006</v>
      </c>
      <c r="F35" s="282">
        <f>F29*F32</f>
        <v>3611226.9312000023</v>
      </c>
      <c r="G35" s="200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</row>
    <row r="36" spans="1:20" ht="12.75" customHeight="1" x14ac:dyDescent="0.2">
      <c r="A36" s="201" t="s">
        <v>275</v>
      </c>
      <c r="B36" s="282">
        <f>B29*B33</f>
        <v>250000</v>
      </c>
      <c r="C36" s="282">
        <f>C29*C33</f>
        <v>672000.00000000012</v>
      </c>
      <c r="D36" s="282">
        <f>D29*D33</f>
        <v>959616.00000000012</v>
      </c>
      <c r="E36" s="282">
        <f>E29*E33</f>
        <v>3224309.7600000012</v>
      </c>
      <c r="F36" s="282">
        <f>F29*F33</f>
        <v>10833680.793600006</v>
      </c>
      <c r="G36" s="200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1:20" ht="12.75" customHeight="1" thickBot="1" x14ac:dyDescent="0.25">
      <c r="A37" s="284" t="s">
        <v>273</v>
      </c>
      <c r="B37" s="285">
        <f>B29*B34</f>
        <v>125000</v>
      </c>
      <c r="C37" s="285">
        <f>C29*C34</f>
        <v>336000.00000000006</v>
      </c>
      <c r="D37" s="285">
        <f>D29*D34</f>
        <v>479808.00000000006</v>
      </c>
      <c r="E37" s="285">
        <f>E29*E34</f>
        <v>1612154.8800000006</v>
      </c>
      <c r="F37" s="285">
        <f>F29*F34</f>
        <v>5416840.396800003</v>
      </c>
      <c r="G37" s="200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2.75" customHeight="1" x14ac:dyDescent="0.2">
      <c r="A38" s="191" t="s">
        <v>283</v>
      </c>
      <c r="B38" s="287">
        <f>SUM(B35:B37)</f>
        <v>575000</v>
      </c>
      <c r="C38" s="287">
        <f>SUM(C35:C37)</f>
        <v>1512000.0000000002</v>
      </c>
      <c r="D38" s="287">
        <f>SUM(D35:D37)</f>
        <v>2079168.0000000002</v>
      </c>
      <c r="E38" s="287">
        <f>SUM(E35:E37)</f>
        <v>6448619.5200000023</v>
      </c>
      <c r="F38" s="287">
        <f>SUM(F35:F37)</f>
        <v>19861748.121600013</v>
      </c>
      <c r="G38" s="200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  <row r="39" spans="1:20" ht="12.75" customHeight="1" x14ac:dyDescent="0.2">
      <c r="A39" s="191"/>
      <c r="B39" s="287"/>
      <c r="C39" s="287"/>
      <c r="D39" s="287"/>
      <c r="E39" s="287"/>
      <c r="F39" s="287"/>
      <c r="G39" s="200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0" ht="12.75" customHeight="1" x14ac:dyDescent="0.2">
      <c r="A40" s="202" t="s">
        <v>172</v>
      </c>
      <c r="B40" s="203">
        <f t="shared" ref="B40:F42" si="0">IF(B$4=1,B22,B35)</f>
        <v>462540</v>
      </c>
      <c r="C40" s="203">
        <f t="shared" si="0"/>
        <v>535920</v>
      </c>
      <c r="D40" s="203">
        <f t="shared" si="0"/>
        <v>1004297.8522274999</v>
      </c>
      <c r="E40" s="203">
        <f t="shared" si="0"/>
        <v>1646780.2179857185</v>
      </c>
      <c r="F40" s="203">
        <f t="shared" si="0"/>
        <v>3243059.4539818936</v>
      </c>
      <c r="G40" s="238">
        <f>Comparables!C37</f>
        <v>3000000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0" ht="12.75" customHeight="1" x14ac:dyDescent="0.2">
      <c r="A41" s="202" t="s">
        <v>173</v>
      </c>
      <c r="B41" s="203">
        <f t="shared" si="0"/>
        <v>714320</v>
      </c>
      <c r="C41" s="203">
        <f t="shared" si="0"/>
        <v>1039680</v>
      </c>
      <c r="D41" s="203">
        <f t="shared" si="0"/>
        <v>1878327.4089099998</v>
      </c>
      <c r="E41" s="203">
        <f t="shared" si="0"/>
        <v>3251105.8319428749</v>
      </c>
      <c r="F41" s="203">
        <f t="shared" si="0"/>
        <v>6620351.281527577</v>
      </c>
      <c r="G41" s="122">
        <f>Comparables!C36</f>
        <v>4000000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0" ht="12.75" customHeight="1" x14ac:dyDescent="0.2">
      <c r="A42" s="202" t="s">
        <v>174</v>
      </c>
      <c r="B42" s="203">
        <f t="shared" si="0"/>
        <v>32558</v>
      </c>
      <c r="C42" s="203">
        <f t="shared" si="0"/>
        <v>13458</v>
      </c>
      <c r="D42" s="203">
        <f t="shared" si="0"/>
        <v>36158</v>
      </c>
      <c r="E42" s="203">
        <f t="shared" si="0"/>
        <v>32258</v>
      </c>
      <c r="F42" s="203">
        <f t="shared" si="0"/>
        <v>38108</v>
      </c>
      <c r="G42" s="122">
        <f>Comparables!C12</f>
        <v>2000000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</row>
    <row r="43" spans="1:20" ht="12.75" customHeight="1" x14ac:dyDescent="0.2">
      <c r="A43" s="204" t="s">
        <v>229</v>
      </c>
      <c r="B43" s="195">
        <f>SUM(B40:B42)</f>
        <v>1209418</v>
      </c>
      <c r="C43" s="195">
        <f>SUM(C40:C42)</f>
        <v>1589058</v>
      </c>
      <c r="D43" s="195">
        <f>SUM(D40:D42)</f>
        <v>2918783.2611374995</v>
      </c>
      <c r="E43" s="195">
        <f>SUM(E40:E42)</f>
        <v>4930144.0499285934</v>
      </c>
      <c r="F43" s="196">
        <f>SUM(F40:F42)</f>
        <v>9901518.7355094701</v>
      </c>
      <c r="G43" s="200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</row>
    <row r="44" spans="1:20" ht="12.75" customHeight="1" x14ac:dyDescent="0.2">
      <c r="A44" s="204"/>
      <c r="B44" s="195"/>
      <c r="C44" s="195"/>
      <c r="D44" s="195"/>
      <c r="E44" s="195"/>
      <c r="F44" s="195"/>
      <c r="G44" s="200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</row>
    <row r="45" spans="1:20" ht="12.75" customHeight="1" x14ac:dyDescent="0.2">
      <c r="A45" s="204"/>
      <c r="B45" s="195"/>
      <c r="C45" s="195"/>
      <c r="D45" s="195"/>
      <c r="E45" s="195"/>
      <c r="F45" s="195"/>
      <c r="G45" s="200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</row>
    <row r="46" spans="1:20" ht="12.75" customHeight="1" x14ac:dyDescent="0.2">
      <c r="A46" s="204"/>
      <c r="B46" s="195"/>
      <c r="C46" s="195"/>
      <c r="D46" s="195"/>
      <c r="E46" s="195"/>
      <c r="F46" s="195"/>
      <c r="G46" s="200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</row>
    <row r="47" spans="1:20" ht="12.75" customHeight="1" x14ac:dyDescent="0.2">
      <c r="A47" s="256" t="s">
        <v>230</v>
      </c>
      <c r="B47" s="195"/>
      <c r="C47" s="195"/>
      <c r="D47" s="195"/>
      <c r="E47" s="195"/>
      <c r="F47" s="195"/>
      <c r="G47" s="200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1:20" ht="12.75" customHeight="1" thickBot="1" x14ac:dyDescent="0.25">
      <c r="A48" s="205"/>
      <c r="B48" s="206">
        <f>B7</f>
        <v>40178</v>
      </c>
      <c r="C48" s="206">
        <f>C7</f>
        <v>40543</v>
      </c>
      <c r="D48" s="206">
        <f>D7</f>
        <v>40908</v>
      </c>
      <c r="E48" s="206">
        <f>E7</f>
        <v>41273</v>
      </c>
      <c r="F48" s="207">
        <f>F7</f>
        <v>41638</v>
      </c>
      <c r="G48" s="250" t="s">
        <v>166</v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</row>
    <row r="49" spans="1:20" ht="12.75" customHeight="1" x14ac:dyDescent="0.2">
      <c r="A49" s="191" t="s">
        <v>129</v>
      </c>
      <c r="B49" s="233">
        <f>Inputs!C60</f>
        <v>500000</v>
      </c>
      <c r="C49" s="233">
        <f>Inputs!D60</f>
        <v>1680000.0000000002</v>
      </c>
      <c r="D49" s="233">
        <f>Inputs!E60</f>
        <v>3198720.0000000005</v>
      </c>
      <c r="E49" s="233">
        <f>Inputs!F60</f>
        <v>10747699.200000005</v>
      </c>
      <c r="F49" s="249">
        <f>Inputs!G60</f>
        <v>36112269.312000021</v>
      </c>
      <c r="G49" s="200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</row>
    <row r="50" spans="1:20" ht="12.75" customHeight="1" x14ac:dyDescent="0.2">
      <c r="A50" s="191" t="s">
        <v>175</v>
      </c>
      <c r="B50" s="208">
        <f>B40/B49</f>
        <v>0.92508000000000001</v>
      </c>
      <c r="C50" s="208">
        <f>C40/C49</f>
        <v>0.31899999999999995</v>
      </c>
      <c r="D50" s="208">
        <f>D40/D49</f>
        <v>0.31396866628760872</v>
      </c>
      <c r="E50" s="208">
        <f>E40/E49</f>
        <v>0.15322165119635259</v>
      </c>
      <c r="F50" s="208">
        <f>F40/F49</f>
        <v>8.9804919927982285E-2</v>
      </c>
      <c r="G50" s="210">
        <f>Comparables!D37</f>
        <v>0.3</v>
      </c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</row>
    <row r="51" spans="1:20" ht="12.75" customHeight="1" x14ac:dyDescent="0.2">
      <c r="A51" s="191" t="s">
        <v>231</v>
      </c>
      <c r="B51" s="208"/>
      <c r="C51" s="208"/>
      <c r="D51" s="208"/>
      <c r="E51" s="208"/>
      <c r="F51" s="280">
        <f>F50-G50</f>
        <v>-0.2101950800720177</v>
      </c>
      <c r="G51" s="210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</row>
    <row r="52" spans="1:20" ht="12.75" customHeight="1" x14ac:dyDescent="0.2">
      <c r="A52" s="191" t="s">
        <v>176</v>
      </c>
      <c r="B52" s="208">
        <f>B41/B49</f>
        <v>1.4286399999999999</v>
      </c>
      <c r="C52" s="208">
        <f>C41/C49</f>
        <v>0.61885714285714277</v>
      </c>
      <c r="D52" s="208">
        <f>D41/D49</f>
        <v>0.58721220016444065</v>
      </c>
      <c r="E52" s="208">
        <f>E41/E49</f>
        <v>0.30249319146770254</v>
      </c>
      <c r="F52" s="208">
        <f>F41/F49</f>
        <v>0.18332692482794621</v>
      </c>
      <c r="G52" s="210">
        <f>Comparables!D36</f>
        <v>0.4</v>
      </c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</row>
    <row r="53" spans="1:20" ht="12.75" customHeight="1" x14ac:dyDescent="0.2">
      <c r="A53" s="191" t="s">
        <v>231</v>
      </c>
      <c r="B53" s="208"/>
      <c r="C53" s="208"/>
      <c r="D53" s="208"/>
      <c r="E53" s="208"/>
      <c r="F53" s="280">
        <f>F52-G52</f>
        <v>-0.21667307517205381</v>
      </c>
      <c r="G53" s="210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</row>
    <row r="54" spans="1:20" ht="12.75" customHeight="1" x14ac:dyDescent="0.2">
      <c r="A54" s="191" t="s">
        <v>177</v>
      </c>
      <c r="B54" s="208">
        <f>B42/B49</f>
        <v>6.5115999999999993E-2</v>
      </c>
      <c r="C54" s="208">
        <f>C42/C49</f>
        <v>8.0107142857142842E-3</v>
      </c>
      <c r="D54" s="208">
        <f>D42/D49</f>
        <v>1.1303896558623447E-2</v>
      </c>
      <c r="E54" s="208">
        <f>E42/E49</f>
        <v>3.001386566531373E-3</v>
      </c>
      <c r="F54" s="208">
        <f>F42/F49</f>
        <v>1.0552646157669411E-3</v>
      </c>
      <c r="G54" s="210">
        <f>Comparables!D12</f>
        <v>0.2</v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</row>
    <row r="55" spans="1:20" ht="12.75" customHeight="1" x14ac:dyDescent="0.2">
      <c r="A55" s="191" t="s">
        <v>231</v>
      </c>
      <c r="B55" s="208"/>
      <c r="C55" s="208"/>
      <c r="D55" s="208"/>
      <c r="E55" s="208"/>
      <c r="F55" s="280">
        <f>F54-G54</f>
        <v>-0.19894473538423307</v>
      </c>
      <c r="G55" s="210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</row>
    <row r="56" spans="1:20" ht="12.75" customHeight="1" x14ac:dyDescent="0.2">
      <c r="A56" s="191" t="s">
        <v>178</v>
      </c>
      <c r="B56" s="211" t="s">
        <v>71</v>
      </c>
      <c r="C56" s="208">
        <f>C42/(C49-B49)</f>
        <v>1.140508474576271E-2</v>
      </c>
      <c r="D56" s="208">
        <f>D42/(D49-C49)</f>
        <v>2.3808206911083013E-2</v>
      </c>
      <c r="E56" s="208">
        <f>E42/(E49-D49)</f>
        <v>4.2731605354005978E-3</v>
      </c>
      <c r="F56" s="208">
        <f>F42/(F49-E49)</f>
        <v>1.5024106393970007E-3</v>
      </c>
      <c r="G56" s="210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</row>
    <row r="57" spans="1:20" ht="12.75" customHeight="1" x14ac:dyDescent="0.2">
      <c r="A57" s="201" t="s">
        <v>231</v>
      </c>
      <c r="B57" s="203"/>
      <c r="C57" s="212"/>
      <c r="D57" s="212"/>
      <c r="E57" s="212"/>
      <c r="F57" s="281"/>
      <c r="G57" s="210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</row>
    <row r="58" spans="1:20" ht="12.75" customHeight="1" x14ac:dyDescent="0.2">
      <c r="A58" s="213" t="s">
        <v>179</v>
      </c>
      <c r="B58" s="208">
        <f>B50+B52+B54</f>
        <v>2.4188360000000002</v>
      </c>
      <c r="C58" s="208">
        <f>C50+C52+C54</f>
        <v>0.94586785714285704</v>
      </c>
      <c r="D58" s="208">
        <f>D50+D52+D54</f>
        <v>0.91248476301067272</v>
      </c>
      <c r="E58" s="208">
        <f>E50+E52+E54</f>
        <v>0.45871622923058653</v>
      </c>
      <c r="F58" s="209">
        <f>F50+F52+F54</f>
        <v>0.27418710937169544</v>
      </c>
      <c r="G58" s="200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</row>
    <row r="59" spans="1:20" ht="12.75" customHeight="1" x14ac:dyDescent="0.2">
      <c r="A59" s="191"/>
      <c r="B59" s="214"/>
      <c r="C59" s="214"/>
      <c r="D59" s="214"/>
      <c r="E59" s="214"/>
      <c r="F59" s="214"/>
      <c r="G59" s="200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</row>
    <row r="60" spans="1:20" ht="12.75" customHeight="1" x14ac:dyDescent="0.2">
      <c r="A60" s="187"/>
      <c r="B60" s="187"/>
      <c r="C60" s="187"/>
      <c r="D60" s="187"/>
      <c r="E60" s="187"/>
      <c r="F60" s="187"/>
      <c r="G60" s="200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ht="12.75" customHeight="1" x14ac:dyDescent="0.2">
      <c r="A61" s="200"/>
      <c r="B61" s="215"/>
      <c r="C61" s="215"/>
      <c r="D61" s="215"/>
      <c r="E61" s="215"/>
      <c r="F61" s="215"/>
      <c r="G61" s="200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0" ht="12.75" customHeight="1" x14ac:dyDescent="0.2">
      <c r="A62" s="118"/>
      <c r="B62" s="121"/>
      <c r="C62" s="121"/>
      <c r="D62" s="121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</row>
    <row r="63" spans="1:20" ht="12.75" customHeight="1" x14ac:dyDescent="0.2">
      <c r="A63" s="118"/>
      <c r="B63" s="121"/>
      <c r="C63" s="121"/>
      <c r="D63" s="121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</row>
    <row r="64" spans="1:20" ht="12.75" customHeight="1" x14ac:dyDescent="0.2">
      <c r="A64" s="118"/>
      <c r="B64" s="121"/>
      <c r="C64" s="121"/>
      <c r="D64" s="121"/>
      <c r="E64" s="118"/>
      <c r="F64" s="118"/>
      <c r="G64" s="118"/>
      <c r="H64" s="118"/>
      <c r="I64" s="118"/>
      <c r="J64" s="118"/>
      <c r="K64" s="118"/>
      <c r="L64" s="118"/>
      <c r="M64" s="118"/>
      <c r="N64" s="117"/>
      <c r="O64" s="117"/>
      <c r="P64" s="117"/>
      <c r="Q64" s="117"/>
      <c r="R64" s="117"/>
      <c r="S64" s="117"/>
      <c r="T64" s="117"/>
    </row>
    <row r="65" spans="1:20" ht="12.75" customHeight="1" x14ac:dyDescent="0.2">
      <c r="A65" s="118"/>
      <c r="B65" s="121"/>
      <c r="C65" s="121"/>
      <c r="D65" s="121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</row>
    <row r="66" spans="1:20" ht="12.75" customHeight="1" x14ac:dyDescent="0.2">
      <c r="A66" s="118"/>
      <c r="B66" s="121"/>
      <c r="C66" s="121"/>
      <c r="D66" s="121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</row>
    <row r="67" spans="1:20" ht="12.75" customHeight="1" x14ac:dyDescent="0.2"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</row>
    <row r="68" spans="1:20" ht="12.75" customHeight="1" x14ac:dyDescent="0.2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</row>
    <row r="69" spans="1:20" ht="12.75" customHeight="1" x14ac:dyDescent="0.2">
      <c r="A69" s="132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</row>
    <row r="70" spans="1:20" ht="12.75" customHeight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</row>
    <row r="71" spans="1:20" ht="12.75" customHeight="1" x14ac:dyDescent="0.2">
      <c r="A71" s="117"/>
      <c r="B71" s="216"/>
      <c r="C71" s="216"/>
      <c r="D71" s="216"/>
      <c r="E71" s="216"/>
      <c r="F71" s="216"/>
      <c r="G71" s="117"/>
      <c r="H71" s="117"/>
      <c r="I71" s="117"/>
      <c r="J71" s="117"/>
      <c r="K71" s="117"/>
      <c r="L71" s="117"/>
      <c r="M71" s="117"/>
      <c r="N71" s="118"/>
      <c r="O71" s="118"/>
      <c r="P71" s="118"/>
      <c r="Q71" s="118"/>
      <c r="R71" s="118"/>
      <c r="S71" s="118"/>
      <c r="T71" s="118"/>
    </row>
    <row r="72" spans="1:20" ht="12.75" customHeight="1" x14ac:dyDescent="0.2">
      <c r="A72" s="118"/>
      <c r="B72" s="217"/>
      <c r="C72" s="217"/>
      <c r="D72" s="217"/>
      <c r="E72" s="217"/>
      <c r="F72" s="217"/>
      <c r="G72" s="120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</row>
    <row r="73" spans="1:20" ht="12.75" customHeight="1" x14ac:dyDescent="0.2">
      <c r="A73" s="118"/>
      <c r="B73" s="217"/>
      <c r="C73" s="217"/>
      <c r="D73" s="217"/>
      <c r="E73" s="217"/>
      <c r="F73" s="217"/>
      <c r="G73" s="120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</row>
    <row r="74" spans="1:20" ht="12.75" customHeight="1" x14ac:dyDescent="0.2">
      <c r="A74" s="118"/>
      <c r="B74" s="217"/>
      <c r="C74" s="217"/>
      <c r="D74" s="217"/>
      <c r="E74" s="217"/>
      <c r="F74" s="217"/>
      <c r="G74" s="120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</row>
    <row r="75" spans="1:20" ht="12.7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</row>
    <row r="76" spans="1:20" ht="12.75" customHeight="1" x14ac:dyDescent="0.2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</row>
    <row r="77" spans="1:20" ht="12.75" customHeight="1" x14ac:dyDescent="0.2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</row>
    <row r="78" spans="1:20" ht="12.75" customHeight="1" x14ac:dyDescent="0.2">
      <c r="A78" s="118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</row>
    <row r="79" spans="1:20" ht="12.75" customHeight="1" x14ac:dyDescent="0.2">
      <c r="A79" s="118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</row>
    <row r="80" spans="1:20" ht="12.75" customHeight="1" x14ac:dyDescent="0.2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</row>
    <row r="81" spans="1:20" ht="12.75" customHeight="1" x14ac:dyDescent="0.2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</row>
    <row r="82" spans="1:20" ht="12.75" customHeight="1" x14ac:dyDescent="0.2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</row>
    <row r="83" spans="1:20" ht="12.75" customHeight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</row>
    <row r="84" spans="1:20" ht="12.75" customHeight="1" x14ac:dyDescent="0.2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ht="12.75" customHeight="1" x14ac:dyDescent="0.2">
      <c r="A85" s="118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20" ht="12.75" customHeight="1" x14ac:dyDescent="0.2">
      <c r="A86" s="118"/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</row>
    <row r="87" spans="1:20" ht="12.75" customHeight="1" x14ac:dyDescent="0.2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</row>
    <row r="88" spans="1:20" ht="12.75" customHeight="1" x14ac:dyDescent="0.2">
      <c r="A88" s="118"/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</row>
    <row r="89" spans="1:20" ht="12.75" customHeight="1" x14ac:dyDescent="0.2">
      <c r="A89" s="118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</row>
    <row r="90" spans="1:20" ht="12.75" customHeight="1" x14ac:dyDescent="0.2">
      <c r="A90" s="118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</row>
    <row r="91" spans="1:20" ht="12.75" customHeight="1" x14ac:dyDescent="0.2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</row>
    <row r="92" spans="1:20" ht="12.75" customHeight="1" x14ac:dyDescent="0.2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20" ht="12.75" customHeight="1" x14ac:dyDescent="0.2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</row>
    <row r="94" spans="1:20" ht="12.75" customHeight="1" x14ac:dyDescent="0.2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</row>
    <row r="95" spans="1:20" ht="12.75" customHeight="1" x14ac:dyDescent="0.2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</row>
    <row r="96" spans="1:20" ht="12.75" customHeight="1" x14ac:dyDescent="0.2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</row>
    <row r="97" spans="1:20" ht="12.75" customHeight="1" x14ac:dyDescent="0.2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</row>
    <row r="98" spans="1:20" ht="12.75" customHeight="1" x14ac:dyDescent="0.2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</row>
    <row r="99" spans="1:20" ht="12.75" customHeight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</row>
    <row r="100" spans="1:20" ht="12.75" customHeight="1" x14ac:dyDescent="0.2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</row>
    <row r="101" spans="1:20" ht="12.75" customHeight="1" x14ac:dyDescent="0.2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</row>
    <row r="102" spans="1:20" ht="12.75" customHeight="1" x14ac:dyDescent="0.2">
      <c r="A102" s="118"/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0" ht="12.75" customHeight="1" x14ac:dyDescent="0.2">
      <c r="A103" s="118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</row>
    <row r="104" spans="1:20" ht="12.75" customHeight="1" x14ac:dyDescent="0.2">
      <c r="A104" s="118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</row>
    <row r="105" spans="1:20" ht="12.75" customHeight="1" x14ac:dyDescent="0.2">
      <c r="A105" s="118"/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</row>
    <row r="106" spans="1:20" ht="12.75" customHeight="1" x14ac:dyDescent="0.2">
      <c r="A106" s="118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</row>
    <row r="107" spans="1:20" ht="12.75" customHeight="1" x14ac:dyDescent="0.2">
      <c r="A107" s="118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</row>
    <row r="108" spans="1:20" ht="12.75" customHeight="1" x14ac:dyDescent="0.2">
      <c r="A108" s="118"/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</row>
    <row r="109" spans="1:20" ht="12.75" customHeight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</row>
    <row r="110" spans="1:20" ht="12.75" customHeight="1" x14ac:dyDescent="0.2">
      <c r="A110" s="118"/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</row>
    <row r="111" spans="1:20" ht="12.75" customHeight="1" x14ac:dyDescent="0.2">
      <c r="A111" s="118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</row>
    <row r="112" spans="1:20" ht="12.75" customHeight="1" x14ac:dyDescent="0.2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</row>
    <row r="113" spans="1:20" ht="12.75" customHeight="1" x14ac:dyDescent="0.2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</row>
    <row r="114" spans="1:20" ht="12.75" customHeight="1" x14ac:dyDescent="0.2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</row>
    <row r="115" spans="1:20" ht="12.75" customHeight="1" x14ac:dyDescent="0.2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</row>
    <row r="116" spans="1:20" ht="12.75" customHeight="1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</row>
    <row r="117" spans="1:20" ht="12.75" customHeight="1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</row>
    <row r="118" spans="1:20" ht="12.75" customHeight="1" x14ac:dyDescent="0.2">
      <c r="A118" s="118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</row>
    <row r="119" spans="1:20" ht="12.75" customHeight="1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</row>
    <row r="120" spans="1:20" ht="12.75" customHeight="1" x14ac:dyDescent="0.2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</row>
    <row r="121" spans="1:20" ht="12.75" customHeight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</row>
    <row r="122" spans="1:20" ht="12.75" customHeight="1" x14ac:dyDescent="0.2">
      <c r="A122" s="118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</row>
    <row r="123" spans="1:20" ht="12.75" customHeight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</row>
    <row r="124" spans="1:20" x14ac:dyDescent="0.2">
      <c r="A124" s="118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1:20" x14ac:dyDescent="0.2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1:20" x14ac:dyDescent="0.2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1:20" x14ac:dyDescent="0.2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1:20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1:13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1:13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</row>
  </sheetData>
  <phoneticPr fontId="8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B1:P77"/>
  <sheetViews>
    <sheetView topLeftCell="B58" zoomScale="110" zoomScaleNormal="110" workbookViewId="0">
      <selection activeCell="F60" sqref="F60"/>
    </sheetView>
  </sheetViews>
  <sheetFormatPr defaultRowHeight="12.75" x14ac:dyDescent="0.2"/>
  <cols>
    <col min="1" max="1" width="9.140625" style="18"/>
    <col min="2" max="2" width="38.28515625" style="18" customWidth="1"/>
    <col min="3" max="3" width="13" style="18" customWidth="1"/>
    <col min="4" max="4" width="12" style="18" customWidth="1"/>
    <col min="5" max="6" width="13.85546875" style="18" bestFit="1" customWidth="1"/>
    <col min="7" max="7" width="12.85546875" style="18" customWidth="1"/>
    <col min="8" max="8" width="20.42578125" style="18" customWidth="1"/>
    <col min="9" max="11" width="9.140625" style="18"/>
    <col min="12" max="16" width="12.28515625" style="18" bestFit="1" customWidth="1"/>
    <col min="17" max="16384" width="9.140625" style="18"/>
  </cols>
  <sheetData>
    <row r="1" spans="2:14" x14ac:dyDescent="0.2">
      <c r="B1" s="17"/>
    </row>
    <row r="2" spans="2:14" x14ac:dyDescent="0.2">
      <c r="B2" s="50"/>
    </row>
    <row r="3" spans="2:14" x14ac:dyDescent="0.2">
      <c r="B3" s="51" t="s">
        <v>81</v>
      </c>
      <c r="C3" s="60" t="s">
        <v>83</v>
      </c>
    </row>
    <row r="4" spans="2:14" x14ac:dyDescent="0.2">
      <c r="C4" s="60" t="s">
        <v>85</v>
      </c>
    </row>
    <row r="5" spans="2:14" x14ac:dyDescent="0.2">
      <c r="C5" s="60" t="s">
        <v>84</v>
      </c>
    </row>
    <row r="6" spans="2:14" ht="14.25" customHeight="1" x14ac:dyDescent="0.2">
      <c r="B6" s="17"/>
      <c r="C6" s="60"/>
      <c r="I6" s="126" t="s">
        <v>166</v>
      </c>
    </row>
    <row r="7" spans="2:14" ht="13.5" thickBot="1" x14ac:dyDescent="0.25">
      <c r="B7" s="78" t="s">
        <v>78</v>
      </c>
      <c r="C7" s="79">
        <v>40178</v>
      </c>
      <c r="D7" s="80">
        <f>D12</f>
        <v>40543</v>
      </c>
      <c r="E7" s="80">
        <f>E12</f>
        <v>40908</v>
      </c>
      <c r="F7" s="80">
        <f>F12</f>
        <v>41273</v>
      </c>
      <c r="G7" s="80">
        <f>G12</f>
        <v>41638</v>
      </c>
      <c r="H7" s="159" t="str">
        <f>Comparables!A1</f>
        <v>Comparable Companies</v>
      </c>
      <c r="I7" s="160" t="str">
        <f>Comparables!D44</f>
        <v>S&amp;P</v>
      </c>
      <c r="J7" s="160" t="str">
        <f>Comparables!E44</f>
        <v>Tech</v>
      </c>
    </row>
    <row r="8" spans="2:14" x14ac:dyDescent="0.2">
      <c r="B8" s="17" t="s">
        <v>79</v>
      </c>
      <c r="C8" s="52">
        <v>65000</v>
      </c>
      <c r="D8" s="55"/>
      <c r="E8" s="55"/>
      <c r="F8" s="55"/>
      <c r="G8" s="55"/>
      <c r="H8" s="148"/>
      <c r="I8" s="145"/>
      <c r="J8" s="145"/>
    </row>
    <row r="9" spans="2:14" x14ac:dyDescent="0.2">
      <c r="B9" s="89" t="s">
        <v>80</v>
      </c>
      <c r="C9" s="90">
        <v>980000</v>
      </c>
      <c r="D9" s="90">
        <v>3000000</v>
      </c>
      <c r="E9" s="90"/>
      <c r="F9" s="90">
        <v>10000000</v>
      </c>
      <c r="G9" s="90"/>
      <c r="H9" s="148"/>
      <c r="I9" s="145"/>
      <c r="J9" s="145"/>
    </row>
    <row r="10" spans="2:14" x14ac:dyDescent="0.2">
      <c r="H10" s="149"/>
      <c r="I10" s="145"/>
      <c r="J10" s="145"/>
    </row>
    <row r="11" spans="2:14" ht="15.75" x14ac:dyDescent="0.25">
      <c r="B11" s="77" t="s">
        <v>28</v>
      </c>
      <c r="C11" s="74"/>
      <c r="D11" s="74"/>
      <c r="E11" s="74"/>
      <c r="F11" s="74"/>
      <c r="G11" s="74"/>
      <c r="H11" s="150"/>
      <c r="I11" s="145"/>
      <c r="J11" s="145"/>
    </row>
    <row r="12" spans="2:14" ht="13.5" thickBot="1" x14ac:dyDescent="0.25">
      <c r="B12" s="75"/>
      <c r="C12" s="76">
        <f>C7</f>
        <v>40178</v>
      </c>
      <c r="D12" s="76">
        <f>C12+365</f>
        <v>40543</v>
      </c>
      <c r="E12" s="76">
        <f>D12+365</f>
        <v>40908</v>
      </c>
      <c r="F12" s="76">
        <f>E12+365</f>
        <v>41273</v>
      </c>
      <c r="G12" s="76">
        <f>F12+365</f>
        <v>41638</v>
      </c>
      <c r="H12" s="151"/>
      <c r="I12" s="146"/>
      <c r="J12" s="146"/>
      <c r="K12" s="19"/>
      <c r="L12" s="19"/>
      <c r="M12" s="19"/>
      <c r="N12" s="19"/>
    </row>
    <row r="13" spans="2:14" x14ac:dyDescent="0.2">
      <c r="B13" s="81" t="s">
        <v>0</v>
      </c>
      <c r="C13" s="82"/>
      <c r="D13" s="82"/>
      <c r="E13" s="83"/>
      <c r="F13" s="83"/>
      <c r="G13" s="83"/>
      <c r="H13" s="149"/>
      <c r="I13" s="145"/>
      <c r="J13" s="145"/>
    </row>
    <row r="14" spans="2:14" x14ac:dyDescent="0.2">
      <c r="B14" s="21" t="s">
        <v>32</v>
      </c>
      <c r="C14" s="21">
        <f>C60*C15</f>
        <v>271002.04081632633</v>
      </c>
      <c r="D14" s="21">
        <f>D60*D15</f>
        <v>3290838.3437002003</v>
      </c>
      <c r="E14" s="21">
        <f>E60*E15</f>
        <v>3580856.4084884911</v>
      </c>
      <c r="F14" s="21">
        <f>F60*F15</f>
        <v>18358126.887763944</v>
      </c>
      <c r="G14" s="21">
        <f>G60*G15</f>
        <v>38714463.499153733</v>
      </c>
      <c r="H14" s="152"/>
      <c r="I14" s="145"/>
      <c r="J14" s="145"/>
    </row>
    <row r="15" spans="2:14" x14ac:dyDescent="0.2">
      <c r="B15" s="21" t="str">
        <f>B17</f>
        <v>as % of sales</v>
      </c>
      <c r="C15" s="49">
        <v>0.54200408163265268</v>
      </c>
      <c r="D15" s="49">
        <v>1.9588323474405951</v>
      </c>
      <c r="E15" s="49">
        <v>1.1194654138181805</v>
      </c>
      <c r="F15" s="49">
        <v>1.7080983144526352</v>
      </c>
      <c r="G15" s="49">
        <v>1.0720584509566948</v>
      </c>
      <c r="H15" s="168">
        <f>Comparables!D5</f>
        <v>0.3</v>
      </c>
      <c r="I15" s="145"/>
      <c r="J15" s="145"/>
    </row>
    <row r="16" spans="2:14" x14ac:dyDescent="0.2">
      <c r="B16" s="21" t="s">
        <v>1</v>
      </c>
      <c r="C16" s="21">
        <f>C60*C17</f>
        <v>110000</v>
      </c>
      <c r="D16" s="21">
        <f>D60*D17</f>
        <v>369600.00000000006</v>
      </c>
      <c r="E16" s="21">
        <f>E60*E17</f>
        <v>703718.40000000014</v>
      </c>
      <c r="F16" s="21">
        <f>F60*F17</f>
        <v>2364493.824000001</v>
      </c>
      <c r="G16" s="21">
        <f>G60*G17</f>
        <v>7944699.2486400045</v>
      </c>
      <c r="H16" s="154"/>
      <c r="I16" s="145"/>
      <c r="J16" s="145"/>
    </row>
    <row r="17" spans="2:10" x14ac:dyDescent="0.2">
      <c r="B17" s="21" t="s">
        <v>225</v>
      </c>
      <c r="C17" s="49">
        <v>0.22</v>
      </c>
      <c r="D17" s="49">
        <v>0.22</v>
      </c>
      <c r="E17" s="49">
        <v>0.22</v>
      </c>
      <c r="F17" s="49">
        <v>0.22</v>
      </c>
      <c r="G17" s="49">
        <v>0.22</v>
      </c>
      <c r="H17" s="153">
        <f>Comparables!D7</f>
        <v>0.15</v>
      </c>
      <c r="I17" s="145"/>
      <c r="J17" s="145"/>
    </row>
    <row r="18" spans="2:10" x14ac:dyDescent="0.2">
      <c r="B18" s="21" t="s">
        <v>2</v>
      </c>
      <c r="C18" s="21">
        <f>C60*C19</f>
        <v>5000</v>
      </c>
      <c r="D18" s="21">
        <f>D60*D19</f>
        <v>16800.000000000004</v>
      </c>
      <c r="E18" s="21">
        <f>E60*E19</f>
        <v>31987.200000000004</v>
      </c>
      <c r="F18" s="21">
        <f>F60*F19</f>
        <v>107476.99200000006</v>
      </c>
      <c r="G18" s="21">
        <f>G60*G19</f>
        <v>361122.69312000024</v>
      </c>
      <c r="H18" s="154"/>
      <c r="I18" s="145"/>
      <c r="J18" s="145"/>
    </row>
    <row r="19" spans="2:10" x14ac:dyDescent="0.2">
      <c r="B19" s="21" t="str">
        <f>B17</f>
        <v>as % of sales</v>
      </c>
      <c r="C19" s="49">
        <v>0.01</v>
      </c>
      <c r="D19" s="49">
        <v>0.01</v>
      </c>
      <c r="E19" s="49">
        <v>0.01</v>
      </c>
      <c r="F19" s="49">
        <v>0.01</v>
      </c>
      <c r="G19" s="49">
        <v>0.01</v>
      </c>
      <c r="H19" s="153">
        <v>0</v>
      </c>
      <c r="I19" s="145"/>
      <c r="J19" s="145"/>
    </row>
    <row r="20" spans="2:10" x14ac:dyDescent="0.2">
      <c r="B20" s="21" t="s">
        <v>3</v>
      </c>
      <c r="C20" s="21">
        <f>C60*C21</f>
        <v>40000</v>
      </c>
      <c r="D20" s="21">
        <f>D60*D21</f>
        <v>134400.00000000003</v>
      </c>
      <c r="E20" s="21">
        <f>E60*E21</f>
        <v>255897.60000000003</v>
      </c>
      <c r="F20" s="21">
        <f>F60*F21</f>
        <v>859815.93600000045</v>
      </c>
      <c r="G20" s="21">
        <f>G60*G21</f>
        <v>2888981.5449600019</v>
      </c>
      <c r="H20" s="154"/>
      <c r="I20" s="145"/>
      <c r="J20" s="145"/>
    </row>
    <row r="21" spans="2:10" x14ac:dyDescent="0.2">
      <c r="B21" s="21" t="str">
        <f>B19</f>
        <v>as % of sales</v>
      </c>
      <c r="C21" s="49">
        <v>0.08</v>
      </c>
      <c r="D21" s="49">
        <v>0.08</v>
      </c>
      <c r="E21" s="49">
        <v>0.08</v>
      </c>
      <c r="F21" s="49">
        <v>0.08</v>
      </c>
      <c r="G21" s="49">
        <v>0.08</v>
      </c>
      <c r="H21" s="153">
        <f>Comparables!D8</f>
        <v>0.02</v>
      </c>
      <c r="I21" s="145"/>
      <c r="J21" s="145"/>
    </row>
    <row r="22" spans="2:10" s="487" customFormat="1" x14ac:dyDescent="0.2">
      <c r="B22" s="483" t="s">
        <v>38</v>
      </c>
      <c r="C22" s="484">
        <f>C14+C16+C18+C20</f>
        <v>426002.04081632633</v>
      </c>
      <c r="D22" s="484">
        <f>D14+D16+D18+D20</f>
        <v>3811638.3437002003</v>
      </c>
      <c r="E22" s="484">
        <f>E14+E16+E18+E20</f>
        <v>4572459.6084884908</v>
      </c>
      <c r="F22" s="484">
        <f>F14+F16+F18+F20</f>
        <v>21689913.639763944</v>
      </c>
      <c r="G22" s="484">
        <f>G14+G16+G18+G20</f>
        <v>49909266.985873736</v>
      </c>
      <c r="H22" s="485"/>
      <c r="I22" s="486"/>
      <c r="J22" s="486"/>
    </row>
    <row r="23" spans="2:10" x14ac:dyDescent="0.2">
      <c r="B23" s="21"/>
      <c r="C23" s="21"/>
      <c r="D23" s="21"/>
      <c r="H23" s="148"/>
      <c r="I23" s="145"/>
      <c r="J23" s="145"/>
    </row>
    <row r="24" spans="2:10" x14ac:dyDescent="0.2">
      <c r="B24" s="84" t="s">
        <v>4</v>
      </c>
      <c r="C24" s="85"/>
      <c r="D24" s="85"/>
      <c r="E24" s="85"/>
      <c r="F24" s="85"/>
      <c r="G24" s="85"/>
      <c r="H24" s="148"/>
      <c r="I24" s="145"/>
      <c r="J24" s="145"/>
    </row>
    <row r="25" spans="2:10" x14ac:dyDescent="0.2">
      <c r="B25" s="21" t="s">
        <v>447</v>
      </c>
      <c r="C25" s="482">
        <f>Expenditure!C9</f>
        <v>19300</v>
      </c>
      <c r="D25" s="482">
        <f>C28+Expenditure!D9</f>
        <v>17431</v>
      </c>
      <c r="E25" s="482">
        <f>D28+Expenditure!E9</f>
        <v>31877</v>
      </c>
      <c r="F25" s="482">
        <f>E28+Expenditure!F9</f>
        <v>35964</v>
      </c>
      <c r="G25" s="482">
        <f>F28+Expenditure!G9</f>
        <v>44551</v>
      </c>
      <c r="H25" s="155"/>
      <c r="I25" s="145"/>
      <c r="J25" s="145"/>
    </row>
    <row r="26" spans="2:10" x14ac:dyDescent="0.2">
      <c r="B26" s="21" t="s">
        <v>6</v>
      </c>
      <c r="C26" s="482">
        <f>-C25*C27</f>
        <v>-6369</v>
      </c>
      <c r="D26" s="482">
        <f>-(Expenditure!C9+Expenditure!D9)*Inputs!$C27</f>
        <v>-7854</v>
      </c>
      <c r="E26" s="482">
        <f>-(Expenditure!C9+Expenditure!D9+Expenditure!E9)*Inputs!$C27</f>
        <v>-15213</v>
      </c>
      <c r="F26" s="482">
        <f>-(Expenditure!D9+Expenditure!E9+Expenditure!F9)*Inputs!$C27</f>
        <v>-15213</v>
      </c>
      <c r="G26" s="482">
        <f>-(Expenditure!E9+Expenditure!F9+Expenditure!G9)*Inputs!$C27</f>
        <v>-21582</v>
      </c>
      <c r="H26" s="156"/>
      <c r="I26" s="145"/>
      <c r="J26" s="145"/>
    </row>
    <row r="27" spans="2:10" x14ac:dyDescent="0.2">
      <c r="B27" s="21" t="s">
        <v>35</v>
      </c>
      <c r="C27" s="49">
        <v>0.33</v>
      </c>
      <c r="D27" s="22"/>
      <c r="E27" s="22"/>
      <c r="F27" s="22"/>
      <c r="G27" s="22"/>
      <c r="H27" s="154">
        <f>Comparables!C49</f>
        <v>0.15</v>
      </c>
      <c r="I27" s="145"/>
      <c r="J27" s="145"/>
    </row>
    <row r="28" spans="2:10" x14ac:dyDescent="0.2">
      <c r="B28" s="21" t="s">
        <v>7</v>
      </c>
      <c r="C28" s="21">
        <f>C25+C26</f>
        <v>12931</v>
      </c>
      <c r="D28" s="21">
        <f>D25+D26</f>
        <v>9577</v>
      </c>
      <c r="E28" s="21">
        <f>E25+E26</f>
        <v>16664</v>
      </c>
      <c r="F28" s="21">
        <f>F25+F26</f>
        <v>20751</v>
      </c>
      <c r="G28" s="21">
        <f>G25+G26</f>
        <v>22969</v>
      </c>
      <c r="H28" s="156"/>
      <c r="I28" s="145"/>
      <c r="J28" s="145"/>
    </row>
    <row r="29" spans="2:10" x14ac:dyDescent="0.2">
      <c r="B29" s="21" t="s">
        <v>448</v>
      </c>
      <c r="C29" s="21">
        <f>Expenditure!C13</f>
        <v>5650</v>
      </c>
      <c r="D29" s="21">
        <f>C32+Expenditure!D13</f>
        <v>6209</v>
      </c>
      <c r="E29" s="21">
        <f>D32+Expenditure!E13</f>
        <v>11479</v>
      </c>
      <c r="F29" s="21">
        <f>E32+Expenditure!F13</f>
        <v>14974</v>
      </c>
      <c r="G29" s="21">
        <f>F32+Expenditure!G13</f>
        <v>19070</v>
      </c>
      <c r="H29" s="156"/>
      <c r="I29" s="145"/>
      <c r="J29" s="145"/>
    </row>
    <row r="30" spans="2:10" x14ac:dyDescent="0.2">
      <c r="B30" s="21" t="s">
        <v>6</v>
      </c>
      <c r="C30" s="21">
        <f>-C29*C31</f>
        <v>-791.00000000000011</v>
      </c>
      <c r="D30" s="482">
        <f>-(Expenditure!C13+Expenditure!D13)*Inputs!$C31</f>
        <v>-980.00000000000011</v>
      </c>
      <c r="E30" s="482">
        <f>-(Expenditure!C13+Expenditure!D13+Expenditure!E13)*Inputs!$C31</f>
        <v>-1855.0000000000002</v>
      </c>
      <c r="F30" s="482">
        <f>-(Expenditure!C13+Expenditure!D13+Expenditure!E13+Expenditure!F13)*Inputs!$C31</f>
        <v>-2604.0000000000005</v>
      </c>
      <c r="G30" s="482">
        <f>-(Expenditure!C13+Expenditure!D13+Expenditure!E13+Expenditure!F13+Expenditure!G13)*Inputs!$C31</f>
        <v>-3542.0000000000005</v>
      </c>
      <c r="H30" s="156"/>
      <c r="I30" s="145"/>
      <c r="J30" s="145"/>
    </row>
    <row r="31" spans="2:10" x14ac:dyDescent="0.2">
      <c r="B31" s="21" t="s">
        <v>35</v>
      </c>
      <c r="C31" s="49">
        <v>0.14000000000000001</v>
      </c>
      <c r="D31" s="22"/>
      <c r="E31" s="22"/>
      <c r="F31" s="22"/>
      <c r="G31" s="22"/>
      <c r="H31" s="156"/>
      <c r="I31" s="145"/>
      <c r="J31" s="145"/>
    </row>
    <row r="32" spans="2:10" x14ac:dyDescent="0.2">
      <c r="B32" s="21" t="s">
        <v>7</v>
      </c>
      <c r="C32" s="21">
        <f>C29+C30</f>
        <v>4859</v>
      </c>
      <c r="D32" s="21">
        <f>D29+D30</f>
        <v>5229</v>
      </c>
      <c r="E32" s="21">
        <f>E29+E30</f>
        <v>9624</v>
      </c>
      <c r="F32" s="21">
        <f>F29+F30</f>
        <v>12370</v>
      </c>
      <c r="G32" s="21">
        <f>G29+G30</f>
        <v>15528</v>
      </c>
      <c r="H32" s="156"/>
      <c r="I32" s="145"/>
      <c r="J32" s="145"/>
    </row>
    <row r="33" spans="2:10" x14ac:dyDescent="0.2">
      <c r="B33" s="21" t="s">
        <v>449</v>
      </c>
      <c r="C33" s="21">
        <f>Expenditure!C18</f>
        <v>7608</v>
      </c>
      <c r="D33" s="21">
        <f>C36+Expenditure!D18</f>
        <v>13694.4</v>
      </c>
      <c r="E33" s="21">
        <f>D36+Expenditure!E18</f>
        <v>18259.199999999997</v>
      </c>
      <c r="F33" s="21">
        <f>E36+Expenditure!F18</f>
        <v>21302.399999999998</v>
      </c>
      <c r="G33" s="21">
        <f>F36+Expenditure!G18</f>
        <v>22823.999999999996</v>
      </c>
      <c r="H33" s="156"/>
      <c r="I33" s="145"/>
      <c r="J33" s="145"/>
    </row>
    <row r="34" spans="2:10" x14ac:dyDescent="0.2">
      <c r="B34" s="21" t="s">
        <v>6</v>
      </c>
      <c r="C34" s="21">
        <f>-C33*C35</f>
        <v>-1521.6000000000001</v>
      </c>
      <c r="D34" s="21">
        <f>-(Expenditure!C18+Expenditure!D18)*Inputs!$C35</f>
        <v>-3043.2000000000003</v>
      </c>
      <c r="E34" s="21">
        <f>-(Expenditure!C18+Expenditure!D18+Expenditure!E18)*Inputs!$C35</f>
        <v>-4564.8</v>
      </c>
      <c r="F34" s="21">
        <f>-(Expenditure!C18+Expenditure!D18+Expenditure!E18+Expenditure!F18)*Inputs!$C35</f>
        <v>-6086.4000000000005</v>
      </c>
      <c r="G34" s="21">
        <f>-(Expenditure!C18+Expenditure!D18+Expenditure!E18+Expenditure!F18+Expenditure!G18)*Inputs!$C35</f>
        <v>-7608</v>
      </c>
      <c r="H34" s="156"/>
      <c r="I34" s="145"/>
      <c r="J34" s="145"/>
    </row>
    <row r="35" spans="2:10" x14ac:dyDescent="0.2">
      <c r="B35" s="21" t="s">
        <v>35</v>
      </c>
      <c r="C35" s="49">
        <v>0.2</v>
      </c>
      <c r="D35" s="22"/>
      <c r="E35" s="22"/>
      <c r="F35" s="22"/>
      <c r="G35" s="22"/>
      <c r="H35" s="156"/>
      <c r="I35" s="145"/>
      <c r="J35" s="145"/>
    </row>
    <row r="36" spans="2:10" x14ac:dyDescent="0.2">
      <c r="B36" s="21" t="s">
        <v>7</v>
      </c>
      <c r="C36" s="21">
        <f>C33+C34</f>
        <v>6086.4</v>
      </c>
      <c r="D36" s="21">
        <f>D33+D34</f>
        <v>10651.199999999999</v>
      </c>
      <c r="E36" s="21">
        <f>E33+E34</f>
        <v>13694.399999999998</v>
      </c>
      <c r="F36" s="21">
        <f>F33+F34</f>
        <v>15215.999999999996</v>
      </c>
      <c r="G36" s="21">
        <f>G33+G34</f>
        <v>15215.999999999996</v>
      </c>
      <c r="H36" s="156"/>
      <c r="I36" s="145"/>
      <c r="J36" s="145"/>
    </row>
    <row r="37" spans="2:10" s="487" customFormat="1" x14ac:dyDescent="0.2">
      <c r="B37" s="483" t="s">
        <v>446</v>
      </c>
      <c r="C37" s="484">
        <f>C28+C32+C36</f>
        <v>23876.400000000001</v>
      </c>
      <c r="D37" s="484">
        <f>D28+D32+D36</f>
        <v>25457.199999999997</v>
      </c>
      <c r="E37" s="484">
        <f>E28+E32+E36</f>
        <v>39982.399999999994</v>
      </c>
      <c r="F37" s="484">
        <f>F28+F32+F36</f>
        <v>48337</v>
      </c>
      <c r="G37" s="484">
        <f>G28+G32+G36</f>
        <v>53713</v>
      </c>
      <c r="H37" s="488"/>
      <c r="I37" s="486"/>
      <c r="J37" s="486"/>
    </row>
    <row r="38" spans="2:10" s="487" customFormat="1" x14ac:dyDescent="0.2">
      <c r="B38" s="489" t="s">
        <v>8</v>
      </c>
      <c r="C38" s="489">
        <f>C22+C37</f>
        <v>449878.44081632636</v>
      </c>
      <c r="D38" s="489">
        <f>D22+D37</f>
        <v>3837095.5437002005</v>
      </c>
      <c r="E38" s="489">
        <f>E22+E37</f>
        <v>4612442.0084884912</v>
      </c>
      <c r="F38" s="489">
        <f>F22+F37</f>
        <v>21738250.639763944</v>
      </c>
      <c r="G38" s="489">
        <f>G22+G37</f>
        <v>49962979.985873736</v>
      </c>
      <c r="H38" s="490"/>
      <c r="I38" s="486"/>
      <c r="J38" s="486"/>
    </row>
    <row r="39" spans="2:10" x14ac:dyDescent="0.2">
      <c r="B39" s="21"/>
      <c r="C39" s="21"/>
      <c r="D39" s="21"/>
      <c r="H39" s="155"/>
      <c r="I39" s="145"/>
      <c r="J39" s="145"/>
    </row>
    <row r="40" spans="2:10" x14ac:dyDescent="0.2">
      <c r="B40" s="21"/>
      <c r="C40" s="21"/>
      <c r="D40" s="21"/>
      <c r="H40" s="148"/>
      <c r="I40" s="145"/>
      <c r="J40" s="145"/>
    </row>
    <row r="41" spans="2:10" x14ac:dyDescent="0.2">
      <c r="B41" s="86" t="s">
        <v>9</v>
      </c>
      <c r="C41" s="87"/>
      <c r="D41" s="87"/>
      <c r="E41" s="88"/>
      <c r="F41" s="88"/>
      <c r="G41" s="88"/>
      <c r="H41" s="148"/>
      <c r="I41" s="145"/>
      <c r="J41" s="145"/>
    </row>
    <row r="42" spans="2:10" x14ac:dyDescent="0.2">
      <c r="B42" s="21" t="s">
        <v>10</v>
      </c>
      <c r="C42" s="21">
        <f>C60*C43</f>
        <v>60000</v>
      </c>
      <c r="D42" s="21">
        <f>D60*D43</f>
        <v>201600.00000000003</v>
      </c>
      <c r="E42" s="21">
        <f>E60*E43</f>
        <v>383846.40000000002</v>
      </c>
      <c r="F42" s="21">
        <f>F60*F43</f>
        <v>1289723.9040000006</v>
      </c>
      <c r="G42" s="21">
        <f>G60*G43</f>
        <v>4333472.3174400022</v>
      </c>
      <c r="H42" s="156"/>
      <c r="I42" s="145"/>
      <c r="J42" s="145"/>
    </row>
    <row r="43" spans="2:10" x14ac:dyDescent="0.2">
      <c r="B43" s="21" t="str">
        <f>B17</f>
        <v>as % of sales</v>
      </c>
      <c r="C43" s="49">
        <v>0.12</v>
      </c>
      <c r="D43" s="49">
        <v>0.12</v>
      </c>
      <c r="E43" s="49">
        <v>0.12</v>
      </c>
      <c r="F43" s="49">
        <v>0.12</v>
      </c>
      <c r="G43" s="49">
        <v>0.12</v>
      </c>
      <c r="H43" s="155">
        <f>Comparables!D20</f>
        <v>0.3</v>
      </c>
      <c r="I43" s="145"/>
      <c r="J43" s="145"/>
    </row>
    <row r="44" spans="2:10" x14ac:dyDescent="0.2">
      <c r="B44" s="21" t="s">
        <v>11</v>
      </c>
      <c r="C44" s="21">
        <f>-C45*C71</f>
        <v>0</v>
      </c>
      <c r="D44" s="21">
        <v>0</v>
      </c>
      <c r="E44" s="21">
        <v>0</v>
      </c>
      <c r="F44" s="21">
        <v>0</v>
      </c>
      <c r="G44" s="21">
        <v>0</v>
      </c>
      <c r="H44" s="156"/>
      <c r="I44" s="145"/>
      <c r="J44" s="145"/>
    </row>
    <row r="45" spans="2:10" x14ac:dyDescent="0.2">
      <c r="B45" s="21" t="s">
        <v>31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155"/>
      <c r="I45" s="145"/>
      <c r="J45" s="145"/>
    </row>
    <row r="46" spans="2:10" x14ac:dyDescent="0.2">
      <c r="B46" s="21" t="s">
        <v>12</v>
      </c>
      <c r="C46" s="21">
        <f>C60*C47</f>
        <v>25000</v>
      </c>
      <c r="D46" s="21">
        <f>D60*D47</f>
        <v>168000.00000000003</v>
      </c>
      <c r="E46" s="21">
        <f>E60*E47</f>
        <v>479808.00000000006</v>
      </c>
      <c r="F46" s="21">
        <f>F60*F47</f>
        <v>2149539.8400000012</v>
      </c>
      <c r="G46" s="21">
        <f>G60*G47</f>
        <v>7222453.8624000046</v>
      </c>
      <c r="H46" s="156"/>
      <c r="I46" s="145"/>
      <c r="J46" s="145"/>
    </row>
    <row r="47" spans="2:10" x14ac:dyDescent="0.2">
      <c r="B47" s="21" t="str">
        <f>B43</f>
        <v>as % of sales</v>
      </c>
      <c r="C47" s="49">
        <v>0.05</v>
      </c>
      <c r="D47" s="49">
        <v>0.1</v>
      </c>
      <c r="E47" s="49">
        <v>0.15</v>
      </c>
      <c r="F47" s="49">
        <v>0.2</v>
      </c>
      <c r="G47" s="49">
        <v>0.2</v>
      </c>
      <c r="H47" s="155">
        <f>Comparables!D19</f>
        <v>0.36</v>
      </c>
      <c r="I47" s="145"/>
      <c r="J47" s="145"/>
    </row>
    <row r="48" spans="2:10" s="487" customFormat="1" x14ac:dyDescent="0.2">
      <c r="B48" s="489" t="s">
        <v>39</v>
      </c>
      <c r="C48" s="491">
        <f>C42+C44+C46</f>
        <v>85000</v>
      </c>
      <c r="D48" s="491">
        <f>D42+D44+D46</f>
        <v>369600.00000000006</v>
      </c>
      <c r="E48" s="491">
        <f>E42+E44+E46</f>
        <v>863654.40000000014</v>
      </c>
      <c r="F48" s="491">
        <f>F42+F44+F46</f>
        <v>3439263.7440000018</v>
      </c>
      <c r="G48" s="491">
        <f>G42+G44+G46</f>
        <v>11555926.179840006</v>
      </c>
      <c r="H48" s="485"/>
      <c r="I48" s="486"/>
      <c r="J48" s="486"/>
    </row>
    <row r="49" spans="2:16" x14ac:dyDescent="0.2">
      <c r="B49" s="21"/>
      <c r="C49" s="21"/>
      <c r="D49" s="21"/>
      <c r="H49" s="148"/>
      <c r="I49" s="145"/>
      <c r="J49" s="145"/>
    </row>
    <row r="50" spans="2:16" x14ac:dyDescent="0.2">
      <c r="B50" s="21" t="s">
        <v>77</v>
      </c>
      <c r="C50" s="21">
        <f>C38-(C42+C44+C46)-SUM(C53:C54)</f>
        <v>0</v>
      </c>
      <c r="D50" s="21">
        <f>D38-(D42+D44+D46)-SUM(D53:D54)</f>
        <v>0</v>
      </c>
      <c r="E50" s="21">
        <f>E38-(E42+E44+E46)-SUM(E53:E54)</f>
        <v>0</v>
      </c>
      <c r="F50" s="21">
        <f>F38-(F42+F44+F46)-SUM(F53:F54)</f>
        <v>0</v>
      </c>
      <c r="G50" s="21">
        <f>G38-(G42+G44+G46)-SUM(G53:G54)</f>
        <v>0</v>
      </c>
      <c r="H50" s="156">
        <f>SUM(C50:G50)</f>
        <v>0</v>
      </c>
      <c r="I50" s="145"/>
      <c r="J50" s="145"/>
    </row>
    <row r="51" spans="2:16" x14ac:dyDescent="0.2">
      <c r="B51" s="21"/>
      <c r="C51" s="21"/>
      <c r="D51" s="21"/>
      <c r="H51" s="148"/>
      <c r="I51" s="145"/>
      <c r="J51" s="145"/>
    </row>
    <row r="52" spans="2:16" x14ac:dyDescent="0.2">
      <c r="B52" s="20" t="s">
        <v>13</v>
      </c>
      <c r="C52" s="21"/>
      <c r="D52" s="21"/>
      <c r="H52" s="148"/>
      <c r="I52" s="145"/>
      <c r="J52" s="145"/>
    </row>
    <row r="53" spans="2:16" x14ac:dyDescent="0.2">
      <c r="B53" s="21" t="s">
        <v>14</v>
      </c>
      <c r="C53" s="21">
        <f>C8+C9</f>
        <v>1045000</v>
      </c>
      <c r="D53" s="21">
        <f>C53+D8+D9</f>
        <v>4045000</v>
      </c>
      <c r="E53" s="21">
        <f>D53+E8+E9</f>
        <v>4045000</v>
      </c>
      <c r="F53" s="21">
        <f>E53+F8+F9</f>
        <v>14045000</v>
      </c>
      <c r="G53" s="21">
        <f>F53+G8+G9</f>
        <v>14045000</v>
      </c>
      <c r="H53" s="156"/>
      <c r="I53" s="145"/>
      <c r="J53" s="145"/>
    </row>
    <row r="54" spans="2:16" x14ac:dyDescent="0.2">
      <c r="B54" s="21" t="s">
        <v>15</v>
      </c>
      <c r="C54" s="21">
        <f>C73</f>
        <v>-680121.55918367347</v>
      </c>
      <c r="D54" s="21">
        <f>C54+D73</f>
        <v>-577504.45629979949</v>
      </c>
      <c r="E54" s="21">
        <f>D54+E73</f>
        <v>-296212.39151150908</v>
      </c>
      <c r="F54" s="21">
        <f>E54+F73</f>
        <v>4253986.895763942</v>
      </c>
      <c r="G54" s="21">
        <f>F54+G73</f>
        <v>24362053.806033738</v>
      </c>
      <c r="H54" s="156"/>
      <c r="I54" s="21"/>
      <c r="J54" s="145"/>
    </row>
    <row r="55" spans="2:16" s="487" customFormat="1" x14ac:dyDescent="0.2">
      <c r="B55" s="489" t="s">
        <v>16</v>
      </c>
      <c r="C55" s="491">
        <f>C48+C50+C53+C54</f>
        <v>449878.44081632653</v>
      </c>
      <c r="D55" s="491">
        <f>D48+D50+D53+D54</f>
        <v>3837095.5437002005</v>
      </c>
      <c r="E55" s="491">
        <f>E48+E50+E53+E54</f>
        <v>4612442.0084884912</v>
      </c>
      <c r="F55" s="491">
        <f>F48+F50+F53+F54</f>
        <v>21738250.639763944</v>
      </c>
      <c r="G55" s="491">
        <f>G48+G50+G53+G54</f>
        <v>49962979.985873744</v>
      </c>
      <c r="H55" s="492"/>
      <c r="I55" s="486"/>
      <c r="J55" s="486"/>
    </row>
    <row r="56" spans="2:16" x14ac:dyDescent="0.2">
      <c r="B56" s="21"/>
      <c r="C56" s="21"/>
      <c r="D56" s="21"/>
      <c r="H56" s="148"/>
      <c r="I56" s="145"/>
      <c r="J56" s="145"/>
    </row>
    <row r="57" spans="2:16" x14ac:dyDescent="0.2">
      <c r="B57" s="21"/>
      <c r="C57" s="21"/>
      <c r="D57" s="21"/>
      <c r="H57" s="148"/>
      <c r="I57" s="145"/>
      <c r="J57" s="145"/>
    </row>
    <row r="58" spans="2:16" ht="16.5" thickBot="1" x14ac:dyDescent="0.3">
      <c r="B58" s="91" t="s">
        <v>17</v>
      </c>
      <c r="C58" s="76">
        <f>C12</f>
        <v>40178</v>
      </c>
      <c r="D58" s="76">
        <f>D12</f>
        <v>40543</v>
      </c>
      <c r="E58" s="76">
        <f>E12</f>
        <v>40908</v>
      </c>
      <c r="F58" s="76">
        <f>F12</f>
        <v>41273</v>
      </c>
      <c r="G58" s="76">
        <f>G12</f>
        <v>41638</v>
      </c>
      <c r="H58" s="151"/>
      <c r="I58" s="145"/>
      <c r="J58" s="145"/>
      <c r="L58" s="108"/>
      <c r="M58" s="108"/>
      <c r="N58" s="108"/>
      <c r="O58" s="108"/>
      <c r="P58" s="108"/>
    </row>
    <row r="59" spans="2:16" x14ac:dyDescent="0.2">
      <c r="B59" s="20" t="s">
        <v>18</v>
      </c>
      <c r="C59" s="21"/>
      <c r="D59" s="21"/>
      <c r="H59" s="148"/>
      <c r="I59" s="145"/>
      <c r="J59" s="145"/>
      <c r="M59" s="22"/>
      <c r="N59" s="22"/>
      <c r="O59" s="22"/>
      <c r="P59" s="22"/>
    </row>
    <row r="60" spans="2:16" x14ac:dyDescent="0.2">
      <c r="B60" s="20" t="s">
        <v>19</v>
      </c>
      <c r="C60" s="21">
        <f>Revenue!B36</f>
        <v>500000</v>
      </c>
      <c r="D60" s="21">
        <f>Revenue!C36</f>
        <v>1680000.0000000002</v>
      </c>
      <c r="E60" s="21">
        <f>Revenue!D36</f>
        <v>3198720.0000000005</v>
      </c>
      <c r="F60" s="21">
        <f>Revenue!E36</f>
        <v>10747699.200000005</v>
      </c>
      <c r="G60" s="21">
        <f>Revenue!F36</f>
        <v>36112269.312000021</v>
      </c>
      <c r="H60" s="156"/>
      <c r="I60" s="145"/>
      <c r="J60" s="145"/>
    </row>
    <row r="61" spans="2:16" x14ac:dyDescent="0.2">
      <c r="B61" s="21"/>
      <c r="C61" s="21"/>
      <c r="D61" s="21"/>
      <c r="H61" s="148"/>
      <c r="I61" s="145"/>
      <c r="J61" s="145"/>
    </row>
    <row r="62" spans="2:16" x14ac:dyDescent="0.2">
      <c r="B62" s="20" t="s">
        <v>20</v>
      </c>
      <c r="C62" s="21"/>
      <c r="D62" s="21"/>
      <c r="H62" s="148"/>
      <c r="I62" s="145"/>
      <c r="J62" s="145"/>
    </row>
    <row r="63" spans="2:16" x14ac:dyDescent="0.2">
      <c r="B63" s="21" t="s">
        <v>29</v>
      </c>
      <c r="C63" s="21">
        <f>-Costing!B41</f>
        <v>-714320</v>
      </c>
      <c r="D63" s="21">
        <f>-Costing!C41</f>
        <v>-1039680</v>
      </c>
      <c r="E63" s="21">
        <f>-Costing!D41</f>
        <v>-1878327.4089099998</v>
      </c>
      <c r="F63" s="21">
        <f>-Costing!E41</f>
        <v>-3251105.8319428749</v>
      </c>
      <c r="G63" s="21">
        <f>-Costing!F41</f>
        <v>-6620351.281527577</v>
      </c>
      <c r="H63" s="156"/>
      <c r="I63" s="145"/>
      <c r="J63" s="145"/>
    </row>
    <row r="64" spans="2:16" x14ac:dyDescent="0.2">
      <c r="B64" s="21" t="s">
        <v>21</v>
      </c>
      <c r="C64" s="21">
        <f>C26+C30+C34</f>
        <v>-8681.6</v>
      </c>
      <c r="D64" s="21">
        <f>(D26+D30+D34)-(C26+C30+C34)</f>
        <v>-3195.6000000000004</v>
      </c>
      <c r="E64" s="21">
        <f>(E26+E30+E34)-(D26+D30+D34)</f>
        <v>-9755.5999999999985</v>
      </c>
      <c r="F64" s="21">
        <f>(F26+F30+F34)-(E26+E30+E34)</f>
        <v>-2270.6000000000022</v>
      </c>
      <c r="G64" s="21">
        <f>(G26+G30+G34)-(F26+F30+F34)</f>
        <v>-8828.5999999999985</v>
      </c>
      <c r="H64" s="155"/>
      <c r="I64" s="145"/>
      <c r="J64" s="145"/>
    </row>
    <row r="65" spans="2:10" x14ac:dyDescent="0.2">
      <c r="B65" s="21" t="s">
        <v>22</v>
      </c>
      <c r="C65" s="21">
        <f>-Costing!B40</f>
        <v>-462540</v>
      </c>
      <c r="D65" s="21">
        <f>-Costing!C40</f>
        <v>-535920</v>
      </c>
      <c r="E65" s="21">
        <f>-Costing!D40</f>
        <v>-1004297.8522274999</v>
      </c>
      <c r="F65" s="21">
        <f>-Costing!E40</f>
        <v>-1646780.2179857185</v>
      </c>
      <c r="G65" s="21">
        <f>-Costing!F40</f>
        <v>-3243059.4539818936</v>
      </c>
      <c r="H65" s="157"/>
      <c r="I65" s="145"/>
      <c r="J65" s="145"/>
    </row>
    <row r="66" spans="2:10" x14ac:dyDescent="0.2">
      <c r="B66" s="21" t="s">
        <v>23</v>
      </c>
      <c r="C66" s="21">
        <f>SUM(C63+C65)*C67</f>
        <v>0</v>
      </c>
      <c r="D66" s="21">
        <f>SUM(D63+D65)*D67</f>
        <v>0</v>
      </c>
      <c r="E66" s="21">
        <f>SUM(E63+E65)*E67</f>
        <v>0</v>
      </c>
      <c r="F66" s="21">
        <f>SUM(F63+F65)*F67</f>
        <v>0</v>
      </c>
      <c r="G66" s="21">
        <f>SUM(G63+G65)*G67</f>
        <v>0</v>
      </c>
      <c r="H66" s="156"/>
      <c r="I66" s="145"/>
      <c r="J66" s="145"/>
    </row>
    <row r="67" spans="2:10" x14ac:dyDescent="0.2">
      <c r="B67" s="21" t="s">
        <v>34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155"/>
      <c r="I67" s="145"/>
      <c r="J67" s="145"/>
    </row>
    <row r="68" spans="2:10" x14ac:dyDescent="0.2">
      <c r="B68" s="21" t="s">
        <v>24</v>
      </c>
      <c r="C68" s="21">
        <f>C14*C69</f>
        <v>5420.0408163265265</v>
      </c>
      <c r="D68" s="21">
        <f>D69*(D14+C14)/2</f>
        <v>35618.403845165267</v>
      </c>
      <c r="E68" s="21">
        <f>E69*(E14+D14)/2</f>
        <v>68716.947521886919</v>
      </c>
      <c r="F68" s="21">
        <f>F69*(F14+E14)/2</f>
        <v>219389.83296252435</v>
      </c>
      <c r="G68" s="21">
        <f>G69*(G14+F14)/2</f>
        <v>570725.90386917687</v>
      </c>
      <c r="H68" s="156"/>
      <c r="I68" s="145"/>
      <c r="J68" s="145"/>
    </row>
    <row r="69" spans="2:10" x14ac:dyDescent="0.2">
      <c r="B69" s="21" t="s">
        <v>33</v>
      </c>
      <c r="C69" s="49">
        <v>0.02</v>
      </c>
      <c r="D69" s="49">
        <v>0.02</v>
      </c>
      <c r="E69" s="49">
        <v>0.02</v>
      </c>
      <c r="F69" s="49">
        <v>0.02</v>
      </c>
      <c r="G69" s="49">
        <v>0.02</v>
      </c>
      <c r="H69" s="155"/>
      <c r="I69" s="145"/>
      <c r="J69" s="145"/>
    </row>
    <row r="70" spans="2:10" x14ac:dyDescent="0.2">
      <c r="B70" s="21" t="s">
        <v>25</v>
      </c>
      <c r="C70" s="21">
        <f>C60+(C63+C64+C65+C66+C68)</f>
        <v>-680121.55918367347</v>
      </c>
      <c r="D70" s="21">
        <f>D60+(D63+D64+D65+D66+D68)</f>
        <v>136822.8038451653</v>
      </c>
      <c r="E70" s="21">
        <f>E60+(E63+E64+E65+E66+E68)</f>
        <v>375056.08638438722</v>
      </c>
      <c r="F70" s="21">
        <f>F60+(F63+F64+F65+F66+F68)</f>
        <v>6066932.383033935</v>
      </c>
      <c r="G70" s="21">
        <f>G60+(G63+G64+G65+G66+G68)</f>
        <v>26810755.880359728</v>
      </c>
      <c r="H70" s="156"/>
      <c r="I70" s="145"/>
      <c r="J70" s="145"/>
    </row>
    <row r="71" spans="2:10" x14ac:dyDescent="0.2">
      <c r="B71" s="21" t="s">
        <v>26</v>
      </c>
      <c r="C71" s="21">
        <f>IF(C70&gt;0,-C72*C70,0)</f>
        <v>0</v>
      </c>
      <c r="D71" s="21">
        <f>IF(D70&gt;0,-D72*D70,0)</f>
        <v>-34205.700961291324</v>
      </c>
      <c r="E71" s="21">
        <f>IF(E70&gt;0,-E72*E70,0)</f>
        <v>-93764.021596096805</v>
      </c>
      <c r="F71" s="21">
        <f>IF(F70&gt;0,-F72*F70,0)</f>
        <v>-1516733.0957584837</v>
      </c>
      <c r="G71" s="21">
        <f>IF(G70&gt;0,-G72*G70,0)</f>
        <v>-6702688.970089932</v>
      </c>
      <c r="H71" s="156"/>
      <c r="I71" s="145"/>
      <c r="J71" s="145"/>
    </row>
    <row r="72" spans="2:10" x14ac:dyDescent="0.2">
      <c r="B72" s="21" t="s">
        <v>30</v>
      </c>
      <c r="C72" s="49">
        <v>0.25</v>
      </c>
      <c r="D72" s="49">
        <v>0.25</v>
      </c>
      <c r="E72" s="49">
        <v>0.25</v>
      </c>
      <c r="F72" s="49">
        <v>0.25</v>
      </c>
      <c r="G72" s="49">
        <v>0.25</v>
      </c>
      <c r="H72" s="155"/>
      <c r="I72" s="145"/>
      <c r="J72" s="145"/>
    </row>
    <row r="73" spans="2:10" x14ac:dyDescent="0.2">
      <c r="B73" s="21" t="s">
        <v>27</v>
      </c>
      <c r="C73" s="21">
        <f>C70+C71</f>
        <v>-680121.55918367347</v>
      </c>
      <c r="D73" s="21">
        <f>D70+D71</f>
        <v>102617.10288387397</v>
      </c>
      <c r="E73" s="21">
        <f>E70+E71</f>
        <v>281292.06478829042</v>
      </c>
      <c r="F73" s="21">
        <f>F70+F71</f>
        <v>4550199.2872754512</v>
      </c>
      <c r="G73" s="21">
        <f>G70+G71</f>
        <v>20108066.910269797</v>
      </c>
      <c r="H73" s="156"/>
      <c r="I73" s="145"/>
      <c r="J73" s="145"/>
    </row>
    <row r="74" spans="2:10" x14ac:dyDescent="0.2">
      <c r="H74" s="158"/>
      <c r="I74" s="145"/>
      <c r="J74" s="145"/>
    </row>
    <row r="75" spans="2:10" x14ac:dyDescent="0.2">
      <c r="B75" s="21" t="s">
        <v>163</v>
      </c>
      <c r="C75" s="22">
        <f>1-(-C63/C60)</f>
        <v>-0.42863999999999991</v>
      </c>
      <c r="D75" s="22">
        <f>1-(-D63/D60)</f>
        <v>0.38114285714285723</v>
      </c>
      <c r="E75" s="22">
        <f>1-(-E63/E60)</f>
        <v>0.41278779983555935</v>
      </c>
      <c r="F75" s="22">
        <f>1-(-F63/F60)</f>
        <v>0.69750680853229752</v>
      </c>
      <c r="G75" s="22">
        <f>1-(-G63/G60)</f>
        <v>0.81667307517205379</v>
      </c>
      <c r="H75" s="154">
        <f>Comparables!C46</f>
        <v>0.6</v>
      </c>
      <c r="I75" s="147">
        <f>Comparables!D46</f>
        <v>0.4</v>
      </c>
      <c r="J75" s="147">
        <f>Comparables!E46</f>
        <v>0.4</v>
      </c>
    </row>
    <row r="76" spans="2:10" x14ac:dyDescent="0.2">
      <c r="B76" s="21" t="s">
        <v>164</v>
      </c>
      <c r="C76" s="22">
        <f>1-(-(C63+C65))/C60</f>
        <v>-1.35372</v>
      </c>
      <c r="D76" s="22">
        <f>1-(-(D63+D65))/D60</f>
        <v>6.2142857142857277E-2</v>
      </c>
      <c r="E76" s="22">
        <f>1-(-(E63+E65))/E60</f>
        <v>9.8819133547950688E-2</v>
      </c>
      <c r="F76" s="22">
        <f>1-(-(F63+F65))/F60</f>
        <v>0.54428515733594485</v>
      </c>
      <c r="G76" s="22">
        <f>1-(-(G63+G65))/G60</f>
        <v>0.72686815524407145</v>
      </c>
      <c r="H76" s="154">
        <f>Comparables!C47</f>
        <v>0.24944659999999999</v>
      </c>
      <c r="I76" s="147">
        <f>Comparables!D47</f>
        <v>0.5</v>
      </c>
      <c r="J76" s="147">
        <f>Comparables!E47</f>
        <v>0.5</v>
      </c>
    </row>
    <row r="77" spans="2:10" x14ac:dyDescent="0.2">
      <c r="B77" s="21" t="s">
        <v>165</v>
      </c>
      <c r="C77" s="22">
        <f>C73/C60</f>
        <v>-1.3602431183673469</v>
      </c>
      <c r="D77" s="22">
        <f>D73/D60</f>
        <v>6.1081608859448785E-2</v>
      </c>
      <c r="E77" s="22">
        <f>E73/E60</f>
        <v>8.7938945824670614E-2</v>
      </c>
      <c r="F77" s="22">
        <f>F73/F60</f>
        <v>0.42336496422187264</v>
      </c>
      <c r="G77" s="22">
        <f>G73/G60</f>
        <v>0.5568209169172299</v>
      </c>
      <c r="H77" s="154">
        <f>Comparables!C45</f>
        <v>0.23944660000000001</v>
      </c>
      <c r="I77" s="147">
        <f>Comparables!D45</f>
        <v>0.2</v>
      </c>
      <c r="J77" s="147">
        <f>Comparables!E45</f>
        <v>0.2</v>
      </c>
    </row>
  </sheetData>
  <phoneticPr fontId="8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Z31"/>
  <sheetViews>
    <sheetView zoomScale="90" zoomScaleNormal="90" workbookViewId="0">
      <pane xSplit="1" ySplit="2" topLeftCell="K3" activePane="bottomRight" state="frozen"/>
      <selection activeCell="F8" sqref="F8"/>
      <selection pane="topRight" activeCell="F8" sqref="F8"/>
      <selection pane="bottomLeft" activeCell="F8" sqref="F8"/>
      <selection pane="bottomRight" activeCell="B3" sqref="B3"/>
    </sheetView>
  </sheetViews>
  <sheetFormatPr defaultColWidth="8.85546875" defaultRowHeight="12.75" x14ac:dyDescent="0.2"/>
  <cols>
    <col min="1" max="1" width="36.28515625" style="501" customWidth="1"/>
    <col min="2" max="25" width="15.7109375" style="501" customWidth="1"/>
    <col min="26" max="16384" width="8.85546875" style="501"/>
  </cols>
  <sheetData>
    <row r="2" spans="1:26" x14ac:dyDescent="0.2">
      <c r="A2" s="498" t="s">
        <v>450</v>
      </c>
      <c r="B2" s="499">
        <f>'Expenditure-24mths'!C5</f>
        <v>39844</v>
      </c>
      <c r="C2" s="499">
        <f>'Expenditure-24mths'!D5</f>
        <v>39872</v>
      </c>
      <c r="D2" s="499">
        <f>'Expenditure-24mths'!E5</f>
        <v>39902</v>
      </c>
      <c r="E2" s="499">
        <f>'Expenditure-24mths'!F5</f>
        <v>39932</v>
      </c>
      <c r="F2" s="499">
        <f>'Expenditure-24mths'!G5</f>
        <v>39962</v>
      </c>
      <c r="G2" s="499">
        <f>'Expenditure-24mths'!H5</f>
        <v>39992</v>
      </c>
      <c r="H2" s="499">
        <f>'Expenditure-24mths'!I5</f>
        <v>40022</v>
      </c>
      <c r="I2" s="499">
        <f>'Expenditure-24mths'!J5</f>
        <v>40052</v>
      </c>
      <c r="J2" s="499">
        <f>'Expenditure-24mths'!K5</f>
        <v>40082</v>
      </c>
      <c r="K2" s="499">
        <f>'Expenditure-24mths'!L5</f>
        <v>40112</v>
      </c>
      <c r="L2" s="499">
        <f>'Expenditure-24mths'!M5</f>
        <v>40142</v>
      </c>
      <c r="M2" s="499">
        <f>'Expenditure-24mths'!N5</f>
        <v>40172</v>
      </c>
      <c r="N2" s="499">
        <f>'Expenditure-24mths'!P5</f>
        <v>40202</v>
      </c>
      <c r="O2" s="499">
        <f>'Expenditure-24mths'!Q5</f>
        <v>40230</v>
      </c>
      <c r="P2" s="499">
        <f>'Expenditure-24mths'!R5</f>
        <v>40260</v>
      </c>
      <c r="Q2" s="499">
        <f>'Expenditure-24mths'!S5</f>
        <v>40290</v>
      </c>
      <c r="R2" s="499">
        <f>'Expenditure-24mths'!T5</f>
        <v>40320</v>
      </c>
      <c r="S2" s="499">
        <f>'Expenditure-24mths'!U5</f>
        <v>40350</v>
      </c>
      <c r="T2" s="499">
        <f>'Expenditure-24mths'!V5</f>
        <v>40380</v>
      </c>
      <c r="U2" s="499">
        <f>'Expenditure-24mths'!W5</f>
        <v>40410</v>
      </c>
      <c r="V2" s="499">
        <f>'Expenditure-24mths'!X5</f>
        <v>40440</v>
      </c>
      <c r="W2" s="499">
        <f>'Expenditure-24mths'!Y5</f>
        <v>40470</v>
      </c>
      <c r="X2" s="499">
        <f>'Expenditure-24mths'!Z5</f>
        <v>40500</v>
      </c>
      <c r="Y2" s="499">
        <f>'Expenditure-24mths'!AA5</f>
        <v>40530</v>
      </c>
      <c r="Z2" s="500"/>
    </row>
    <row r="3" spans="1:26" x14ac:dyDescent="0.2">
      <c r="A3" s="498" t="s">
        <v>451</v>
      </c>
      <c r="C3" s="112">
        <f>B28</f>
        <v>823531</v>
      </c>
      <c r="D3" s="112">
        <f t="shared" ref="D3:X3" si="0">C28</f>
        <v>694129.5</v>
      </c>
      <c r="E3" s="112">
        <f t="shared" si="0"/>
        <v>647551</v>
      </c>
      <c r="F3" s="112">
        <f t="shared" si="0"/>
        <v>717007</v>
      </c>
      <c r="G3" s="112">
        <f t="shared" si="0"/>
        <v>836372.5</v>
      </c>
      <c r="H3" s="112">
        <f t="shared" si="0"/>
        <v>975500</v>
      </c>
      <c r="I3" s="112">
        <f t="shared" si="0"/>
        <v>1128880.5</v>
      </c>
      <c r="J3" s="112">
        <f t="shared" si="0"/>
        <v>1313666</v>
      </c>
      <c r="K3" s="112">
        <f t="shared" si="0"/>
        <v>1524780</v>
      </c>
      <c r="L3" s="112">
        <f t="shared" si="0"/>
        <v>1759815</v>
      </c>
      <c r="M3" s="112">
        <f t="shared" si="0"/>
        <v>2031643.5</v>
      </c>
      <c r="N3" s="112">
        <f t="shared" si="0"/>
        <v>2338418</v>
      </c>
      <c r="O3" s="112">
        <f t="shared" si="0"/>
        <v>2558453.5</v>
      </c>
      <c r="P3" s="112">
        <f t="shared" si="0"/>
        <v>2844214.5</v>
      </c>
      <c r="Q3" s="112">
        <f t="shared" si="0"/>
        <v>3256515</v>
      </c>
      <c r="R3" s="112">
        <f t="shared" si="0"/>
        <v>3688060.5</v>
      </c>
      <c r="S3" s="112">
        <f t="shared" si="0"/>
        <v>7208005.5</v>
      </c>
      <c r="T3" s="112">
        <f t="shared" si="0"/>
        <v>7789937</v>
      </c>
      <c r="U3" s="112">
        <f t="shared" si="0"/>
        <v>8432531</v>
      </c>
      <c r="V3" s="112">
        <f t="shared" si="0"/>
        <v>9157635</v>
      </c>
      <c r="W3" s="112">
        <f t="shared" si="0"/>
        <v>9965216.5</v>
      </c>
      <c r="X3" s="112">
        <f t="shared" si="0"/>
        <v>10858574</v>
      </c>
      <c r="Y3" s="112">
        <f>X28</f>
        <v>11995924</v>
      </c>
    </row>
    <row r="4" spans="1:26" x14ac:dyDescent="0.2">
      <c r="A4" s="498" t="s">
        <v>452</v>
      </c>
      <c r="B4" s="112">
        <f>Inputs!C9</f>
        <v>980000</v>
      </c>
      <c r="R4" s="112">
        <f>Inputs!D9</f>
        <v>3000000</v>
      </c>
    </row>
    <row r="5" spans="1:26" x14ac:dyDescent="0.2">
      <c r="A5" s="498" t="s">
        <v>453</v>
      </c>
    </row>
    <row r="6" spans="1:26" s="510" customFormat="1" x14ac:dyDescent="0.2">
      <c r="A6" s="509" t="s">
        <v>454</v>
      </c>
      <c r="B6" s="511"/>
      <c r="C6" s="511"/>
      <c r="D6" s="511"/>
      <c r="E6" s="512">
        <f>'Bottom Up Revenue-24mths'!B21*B30</f>
        <v>144925</v>
      </c>
      <c r="F6" s="512">
        <f>'Bottom Up Revenue-24mths'!C21*C30</f>
        <v>159417.5</v>
      </c>
      <c r="G6" s="512">
        <f>'Bottom Up Revenue-24mths'!D21*D30</f>
        <v>175414.5</v>
      </c>
      <c r="H6" s="512">
        <f>'Bottom Up Revenue-24mths'!E21*E30</f>
        <v>193035</v>
      </c>
      <c r="I6" s="512">
        <f>'Bottom Up Revenue-24mths'!F21*F30</f>
        <v>212398</v>
      </c>
      <c r="J6" s="512">
        <f>'Bottom Up Revenue-24mths'!G21*G30</f>
        <v>233733</v>
      </c>
      <c r="K6" s="512">
        <f>'Bottom Up Revenue-24mths'!H21*H30</f>
        <v>257150.5</v>
      </c>
      <c r="L6" s="512">
        <f>'Bottom Up Revenue-24mths'!I21*I30</f>
        <v>282888.5</v>
      </c>
      <c r="M6" s="512">
        <f>'Bottom Up Revenue-24mths'!J21*J30</f>
        <v>311185</v>
      </c>
      <c r="N6" s="512">
        <f>'Bottom Up Revenue-24mths'!K21*K30</f>
        <v>342371.5</v>
      </c>
      <c r="O6" s="512">
        <f>'Bottom Up Revenue-24mths'!L21*L30</f>
        <v>376686</v>
      </c>
      <c r="P6" s="512">
        <f>'Bottom Up Revenue-24mths'!M21*M30</f>
        <v>414366.5</v>
      </c>
      <c r="Q6" s="512">
        <f>'Bottom Up Revenue-24mths'!N21*N30</f>
        <v>455872</v>
      </c>
      <c r="R6" s="512">
        <f>'Bottom Up Revenue-24mths'!O21*O30</f>
        <v>501551</v>
      </c>
      <c r="S6" s="512">
        <f>'Bottom Up Revenue-24mths'!P21*P30</f>
        <v>551752</v>
      </c>
      <c r="T6" s="512">
        <f>'Bottom Up Revenue-24mths'!Q21*Q30</f>
        <v>606942.5</v>
      </c>
      <c r="U6" s="512">
        <f>'Bottom Up Revenue-24mths'!R21*R30</f>
        <v>667692</v>
      </c>
      <c r="V6" s="512">
        <f>'Bottom Up Revenue-24mths'!S21*S30</f>
        <v>734476.5</v>
      </c>
      <c r="W6" s="512">
        <f>'Bottom Up Revenue-24mths'!T21*T30</f>
        <v>807984.5</v>
      </c>
      <c r="X6" s="512">
        <f>'Bottom Up Revenue-24mths'!U21*U30</f>
        <v>888794</v>
      </c>
      <c r="Y6" s="512">
        <f>'Bottom Up Revenue-24mths'!V21*V30</f>
        <v>977721</v>
      </c>
    </row>
    <row r="7" spans="1:26" s="510" customFormat="1" x14ac:dyDescent="0.2">
      <c r="A7" s="509" t="s">
        <v>455</v>
      </c>
      <c r="B7" s="512">
        <f>'Bottom Up Revenue-24mths'!B21*B31</f>
        <v>25575</v>
      </c>
      <c r="C7" s="512">
        <f>'Bottom Up Revenue-24mths'!C21*C31</f>
        <v>28132.5</v>
      </c>
      <c r="D7" s="512">
        <f>'Bottom Up Revenue-24mths'!D21*D31</f>
        <v>30955.5</v>
      </c>
      <c r="E7" s="512">
        <f>'Bottom Up Revenue-24mths'!E21*E31</f>
        <v>34065</v>
      </c>
      <c r="F7" s="512">
        <f>'Bottom Up Revenue-24mths'!F21*F31</f>
        <v>37482</v>
      </c>
      <c r="G7" s="512">
        <f>'Bottom Up Revenue-24mths'!G21*G31</f>
        <v>41247</v>
      </c>
      <c r="H7" s="512">
        <f>'Bottom Up Revenue-24mths'!H21*H31</f>
        <v>45379.5</v>
      </c>
      <c r="I7" s="512">
        <f>'Bottom Up Revenue-24mths'!I21*I31</f>
        <v>49921.5</v>
      </c>
      <c r="J7" s="512">
        <f>'Bottom Up Revenue-24mths'!J21*J31</f>
        <v>54915</v>
      </c>
      <c r="K7" s="512">
        <f>'Bottom Up Revenue-24mths'!K21*K31</f>
        <v>60418.5</v>
      </c>
      <c r="L7" s="512">
        <f>'Bottom Up Revenue-24mths'!L21*L31</f>
        <v>66474</v>
      </c>
      <c r="M7" s="512">
        <f>'Bottom Up Revenue-24mths'!M21*M31</f>
        <v>73123.5</v>
      </c>
      <c r="N7" s="512">
        <f>'Bottom Up Revenue-24mths'!N21*N31</f>
        <v>80448</v>
      </c>
      <c r="O7" s="512">
        <f>'Bottom Up Revenue-24mths'!O21*O31</f>
        <v>88509</v>
      </c>
      <c r="P7" s="512">
        <f>'Bottom Up Revenue-24mths'!P21*P31</f>
        <v>97368</v>
      </c>
      <c r="Q7" s="512">
        <f>'Bottom Up Revenue-24mths'!Q21*Q31</f>
        <v>107107.5</v>
      </c>
      <c r="R7" s="512">
        <f>'Bottom Up Revenue-24mths'!R21*R31</f>
        <v>117828</v>
      </c>
      <c r="S7" s="512">
        <f>'Bottom Up Revenue-24mths'!S21*S31</f>
        <v>129613.5</v>
      </c>
      <c r="T7" s="512">
        <f>'Bottom Up Revenue-24mths'!T21*T31</f>
        <v>142585.5</v>
      </c>
      <c r="U7" s="512">
        <f>'Bottom Up Revenue-24mths'!U21*U31</f>
        <v>156846</v>
      </c>
      <c r="V7" s="512">
        <f>'Bottom Up Revenue-24mths'!V21*V31</f>
        <v>172539</v>
      </c>
      <c r="W7" s="512">
        <f>'Bottom Up Revenue-24mths'!W21*W31</f>
        <v>189807</v>
      </c>
      <c r="X7" s="512">
        <f>'Bottom Up Revenue-24mths'!X21*X31</f>
        <v>347990</v>
      </c>
      <c r="Y7" s="512">
        <f>'Bottom Up Revenue-24mths'!Y21*Y31</f>
        <v>382807.5</v>
      </c>
    </row>
    <row r="9" spans="1:26" x14ac:dyDescent="0.2">
      <c r="A9" s="498" t="s">
        <v>456</v>
      </c>
      <c r="B9" s="502">
        <f>SUM(B4:B8)</f>
        <v>1005575</v>
      </c>
      <c r="C9" s="502">
        <f t="shared" ref="C9:Y9" si="1">SUM(C4:C8)</f>
        <v>28132.5</v>
      </c>
      <c r="D9" s="502">
        <f t="shared" si="1"/>
        <v>30955.5</v>
      </c>
      <c r="E9" s="502">
        <f t="shared" si="1"/>
        <v>178990</v>
      </c>
      <c r="F9" s="502">
        <f t="shared" si="1"/>
        <v>196899.5</v>
      </c>
      <c r="G9" s="502">
        <f t="shared" si="1"/>
        <v>216661.5</v>
      </c>
      <c r="H9" s="502">
        <f t="shared" si="1"/>
        <v>238414.5</v>
      </c>
      <c r="I9" s="502">
        <f t="shared" si="1"/>
        <v>262319.5</v>
      </c>
      <c r="J9" s="502">
        <f t="shared" si="1"/>
        <v>288648</v>
      </c>
      <c r="K9" s="502">
        <f t="shared" si="1"/>
        <v>317569</v>
      </c>
      <c r="L9" s="502">
        <f t="shared" si="1"/>
        <v>349362.5</v>
      </c>
      <c r="M9" s="502">
        <f t="shared" si="1"/>
        <v>384308.5</v>
      </c>
      <c r="N9" s="502">
        <f t="shared" si="1"/>
        <v>422819.5</v>
      </c>
      <c r="O9" s="502">
        <f t="shared" si="1"/>
        <v>465195</v>
      </c>
      <c r="P9" s="502">
        <f t="shared" si="1"/>
        <v>511734.5</v>
      </c>
      <c r="Q9" s="502">
        <f t="shared" si="1"/>
        <v>562979.5</v>
      </c>
      <c r="R9" s="502">
        <f t="shared" si="1"/>
        <v>3619379</v>
      </c>
      <c r="S9" s="502">
        <f t="shared" si="1"/>
        <v>681365.5</v>
      </c>
      <c r="T9" s="502">
        <f t="shared" si="1"/>
        <v>749528</v>
      </c>
      <c r="U9" s="502">
        <f t="shared" si="1"/>
        <v>824538</v>
      </c>
      <c r="V9" s="502">
        <f t="shared" si="1"/>
        <v>907015.5</v>
      </c>
      <c r="W9" s="502">
        <f t="shared" si="1"/>
        <v>997791.5</v>
      </c>
      <c r="X9" s="502">
        <f t="shared" si="1"/>
        <v>1236784</v>
      </c>
      <c r="Y9" s="502">
        <f t="shared" si="1"/>
        <v>1360528.5</v>
      </c>
    </row>
    <row r="10" spans="1:26" x14ac:dyDescent="0.2">
      <c r="A10" s="498" t="s">
        <v>457</v>
      </c>
      <c r="B10" s="503">
        <f>B3+B9</f>
        <v>1005575</v>
      </c>
      <c r="C10" s="503">
        <f t="shared" ref="C10:Y10" si="2">C3+C9</f>
        <v>851663.5</v>
      </c>
      <c r="D10" s="503">
        <f t="shared" si="2"/>
        <v>725085</v>
      </c>
      <c r="E10" s="503">
        <f t="shared" si="2"/>
        <v>826541</v>
      </c>
      <c r="F10" s="503">
        <f t="shared" si="2"/>
        <v>913906.5</v>
      </c>
      <c r="G10" s="503">
        <f t="shared" si="2"/>
        <v>1053034</v>
      </c>
      <c r="H10" s="503">
        <f t="shared" si="2"/>
        <v>1213914.5</v>
      </c>
      <c r="I10" s="503">
        <f t="shared" si="2"/>
        <v>1391200</v>
      </c>
      <c r="J10" s="503">
        <f t="shared" si="2"/>
        <v>1602314</v>
      </c>
      <c r="K10" s="503">
        <f t="shared" si="2"/>
        <v>1842349</v>
      </c>
      <c r="L10" s="503">
        <f t="shared" si="2"/>
        <v>2109177.5</v>
      </c>
      <c r="M10" s="503">
        <f t="shared" si="2"/>
        <v>2415952</v>
      </c>
      <c r="N10" s="503">
        <f t="shared" si="2"/>
        <v>2761237.5</v>
      </c>
      <c r="O10" s="503">
        <f t="shared" si="2"/>
        <v>3023648.5</v>
      </c>
      <c r="P10" s="503">
        <f t="shared" si="2"/>
        <v>3355949</v>
      </c>
      <c r="Q10" s="503">
        <f t="shared" si="2"/>
        <v>3819494.5</v>
      </c>
      <c r="R10" s="503">
        <f t="shared" si="2"/>
        <v>7307439.5</v>
      </c>
      <c r="S10" s="503">
        <f t="shared" si="2"/>
        <v>7889371</v>
      </c>
      <c r="T10" s="503">
        <f t="shared" si="2"/>
        <v>8539465</v>
      </c>
      <c r="U10" s="503">
        <f t="shared" si="2"/>
        <v>9257069</v>
      </c>
      <c r="V10" s="503">
        <f t="shared" si="2"/>
        <v>10064650.5</v>
      </c>
      <c r="W10" s="503">
        <f t="shared" si="2"/>
        <v>10963008</v>
      </c>
      <c r="X10" s="503">
        <f t="shared" si="2"/>
        <v>12095358</v>
      </c>
      <c r="Y10" s="503">
        <f t="shared" si="2"/>
        <v>13356452.5</v>
      </c>
    </row>
    <row r="11" spans="1:26" x14ac:dyDescent="0.2">
      <c r="A11" s="498"/>
    </row>
    <row r="12" spans="1:26" x14ac:dyDescent="0.2">
      <c r="A12" s="498" t="s">
        <v>458</v>
      </c>
    </row>
    <row r="13" spans="1:26" x14ac:dyDescent="0.2">
      <c r="A13" s="504" t="s">
        <v>459</v>
      </c>
      <c r="B13" s="112">
        <f>-'Expenditure-24mths'!C6</f>
        <v>-69200</v>
      </c>
      <c r="C13" s="112">
        <f>-'Expenditure-24mths'!D6</f>
        <v>-69200</v>
      </c>
      <c r="D13" s="112">
        <f>-'Expenditure-24mths'!E6</f>
        <v>-69200</v>
      </c>
      <c r="E13" s="112">
        <f>-'Expenditure-24mths'!F6</f>
        <v>-69200</v>
      </c>
      <c r="F13" s="112">
        <f>-'Expenditure-24mths'!G6</f>
        <v>-69200</v>
      </c>
      <c r="G13" s="112">
        <f>-'Expenditure-24mths'!H6</f>
        <v>-69200</v>
      </c>
      <c r="H13" s="112">
        <f>-'Expenditure-24mths'!I6</f>
        <v>-69200</v>
      </c>
      <c r="I13" s="112">
        <f>-'Expenditure-24mths'!J6</f>
        <v>-69200</v>
      </c>
      <c r="J13" s="112">
        <f>-'Expenditure-24mths'!K6</f>
        <v>-69200</v>
      </c>
      <c r="K13" s="112">
        <f>-'Expenditure-24mths'!L6</f>
        <v>-69200</v>
      </c>
      <c r="L13" s="112">
        <f>-'Expenditure-24mths'!M6</f>
        <v>-69200</v>
      </c>
      <c r="M13" s="112">
        <f>-'Expenditure-24mths'!N6</f>
        <v>-69200</v>
      </c>
      <c r="N13" s="112">
        <f>-'Expenditure-24mths'!P6</f>
        <v>-90800</v>
      </c>
      <c r="O13" s="112">
        <f>-'Expenditure-24mths'!Q6</f>
        <v>-90800</v>
      </c>
      <c r="P13" s="112">
        <f>-'Expenditure-24mths'!R6</f>
        <v>-90800</v>
      </c>
      <c r="Q13" s="112">
        <f>-'Expenditure-24mths'!S6</f>
        <v>-90800</v>
      </c>
      <c r="R13" s="112">
        <f>-'Expenditure-24mths'!T6</f>
        <v>-90800</v>
      </c>
      <c r="S13" s="112">
        <f>-'Expenditure-24mths'!U6</f>
        <v>-90800</v>
      </c>
      <c r="T13" s="112">
        <f>-'Expenditure-24mths'!V6</f>
        <v>-90800</v>
      </c>
      <c r="U13" s="112">
        <f>-'Expenditure-24mths'!W6</f>
        <v>-90800</v>
      </c>
      <c r="V13" s="112">
        <f>-'Expenditure-24mths'!X6</f>
        <v>-90800</v>
      </c>
      <c r="W13" s="112">
        <f>-'Expenditure-24mths'!Y6</f>
        <v>-90800</v>
      </c>
      <c r="X13" s="112">
        <f>-'Expenditure-24mths'!Z6</f>
        <v>-90800</v>
      </c>
      <c r="Y13" s="112">
        <f>-'Expenditure-24mths'!AA6</f>
        <v>-90800</v>
      </c>
    </row>
    <row r="14" spans="1:26" x14ac:dyDescent="0.2">
      <c r="A14" s="504" t="s">
        <v>160</v>
      </c>
      <c r="B14" s="112">
        <f>-'Expenditure-24mths'!C25</f>
        <v>-14700</v>
      </c>
      <c r="C14" s="112">
        <f>-'Expenditure-24mths'!D25</f>
        <v>-500</v>
      </c>
      <c r="D14" s="112">
        <f>-'Expenditure-24mths'!E25</f>
        <v>-500</v>
      </c>
      <c r="E14" s="112">
        <f>-'Expenditure-24mths'!F25</f>
        <v>-5500</v>
      </c>
      <c r="F14" s="112">
        <f>-'Expenditure-24mths'!G25</f>
        <v>-500</v>
      </c>
      <c r="G14" s="112">
        <f>-'Expenditure-24mths'!H25</f>
        <v>-500</v>
      </c>
      <c r="H14" s="112">
        <f>-'Expenditure-24mths'!I25</f>
        <v>-8000</v>
      </c>
      <c r="I14" s="112">
        <f>-'Expenditure-24mths'!J25</f>
        <v>-500</v>
      </c>
      <c r="J14" s="112">
        <f>-'Expenditure-24mths'!K25</f>
        <v>-500</v>
      </c>
      <c r="K14" s="112">
        <f>-'Expenditure-24mths'!L25</f>
        <v>-5500</v>
      </c>
      <c r="L14" s="112">
        <f>-'Expenditure-24mths'!M25</f>
        <v>-500</v>
      </c>
      <c r="M14" s="112">
        <f>-'Expenditure-24mths'!N25</f>
        <v>-500</v>
      </c>
      <c r="N14" s="112">
        <f>-'Expenditure-24mths'!P25</f>
        <v>-14000</v>
      </c>
      <c r="O14" s="112">
        <f>-'Expenditure-24mths'!Q25</f>
        <v>-500</v>
      </c>
      <c r="P14" s="112">
        <f>-'Expenditure-24mths'!R25</f>
        <v>-500</v>
      </c>
      <c r="Q14" s="112">
        <f>-'Expenditure-24mths'!S25</f>
        <v>-5500</v>
      </c>
      <c r="R14" s="112">
        <f>-'Expenditure-24mths'!T25</f>
        <v>-500</v>
      </c>
      <c r="S14" s="112">
        <f>-'Expenditure-24mths'!U25</f>
        <v>-500</v>
      </c>
      <c r="T14" s="112">
        <f>-'Expenditure-24mths'!V25</f>
        <v>-8000</v>
      </c>
      <c r="U14" s="112">
        <f>-'Expenditure-24mths'!W25</f>
        <v>-500</v>
      </c>
      <c r="V14" s="112">
        <f>-'Expenditure-24mths'!X25</f>
        <v>-500</v>
      </c>
      <c r="W14" s="112">
        <f>-'Expenditure-24mths'!Y25</f>
        <v>-5500</v>
      </c>
      <c r="X14" s="112">
        <f>-'Expenditure-24mths'!Z25</f>
        <v>-500</v>
      </c>
      <c r="Y14" s="112">
        <f>-'Expenditure-24mths'!AA25</f>
        <v>-500</v>
      </c>
    </row>
    <row r="15" spans="1:26" x14ac:dyDescent="0.2">
      <c r="A15" s="504" t="s">
        <v>460</v>
      </c>
      <c r="B15" s="112">
        <f>-'Expenditure-24mths'!C33</f>
        <v>-25000</v>
      </c>
      <c r="C15" s="112">
        <f>-'Expenditure-24mths'!D33</f>
        <v>0</v>
      </c>
      <c r="D15" s="112">
        <f>-'Expenditure-24mths'!E33</f>
        <v>0</v>
      </c>
      <c r="E15" s="112">
        <f>-'Expenditure-24mths'!F33</f>
        <v>-27000</v>
      </c>
      <c r="F15" s="112">
        <f>-'Expenditure-24mths'!G33</f>
        <v>0</v>
      </c>
      <c r="G15" s="112">
        <f>-'Expenditure-24mths'!H33</f>
        <v>0</v>
      </c>
      <c r="H15" s="112">
        <f>-'Expenditure-24mths'!I33</f>
        <v>0</v>
      </c>
      <c r="I15" s="112">
        <f>-'Expenditure-24mths'!J33</f>
        <v>0</v>
      </c>
      <c r="J15" s="112">
        <f>-'Expenditure-24mths'!K33</f>
        <v>0</v>
      </c>
      <c r="K15" s="112">
        <f>-'Expenditure-24mths'!L33</f>
        <v>0</v>
      </c>
      <c r="L15" s="112">
        <f>-'Expenditure-24mths'!M33</f>
        <v>0</v>
      </c>
      <c r="M15" s="112">
        <f>-'Expenditure-24mths'!N33</f>
        <v>0</v>
      </c>
      <c r="N15" s="112">
        <f>-'Expenditure-24mths'!P33</f>
        <v>-84000</v>
      </c>
      <c r="O15" s="112">
        <f>-'Expenditure-24mths'!Q33</f>
        <v>0</v>
      </c>
      <c r="P15" s="112">
        <f>-'Expenditure-24mths'!R33</f>
        <v>0</v>
      </c>
      <c r="Q15" s="112">
        <f>-'Expenditure-24mths'!S33</f>
        <v>-27000</v>
      </c>
      <c r="R15" s="112">
        <f>-'Expenditure-24mths'!T33</f>
        <v>0</v>
      </c>
      <c r="S15" s="112">
        <f>-'Expenditure-24mths'!U33</f>
        <v>0</v>
      </c>
      <c r="T15" s="112">
        <f>-'Expenditure-24mths'!V33</f>
        <v>0</v>
      </c>
      <c r="U15" s="112">
        <f>-'Expenditure-24mths'!W33</f>
        <v>0</v>
      </c>
      <c r="V15" s="112">
        <f>-'Expenditure-24mths'!X33</f>
        <v>0</v>
      </c>
      <c r="W15" s="112">
        <f>-'Expenditure-24mths'!Y33</f>
        <v>0</v>
      </c>
      <c r="X15" s="112">
        <f>-'Expenditure-24mths'!Z33</f>
        <v>0</v>
      </c>
      <c r="Y15" s="112">
        <f>-'Expenditure-24mths'!AA33</f>
        <v>0</v>
      </c>
    </row>
    <row r="16" spans="1:26" x14ac:dyDescent="0.2">
      <c r="A16" s="504" t="s">
        <v>461</v>
      </c>
      <c r="B16" s="112">
        <f>-'Expenditure-24mths'!C43</f>
        <v>0</v>
      </c>
      <c r="C16" s="112">
        <f>-'Expenditure-24mths'!D43</f>
        <v>-80000</v>
      </c>
      <c r="D16" s="112">
        <f>-'Expenditure-24mths'!E43</f>
        <v>0</v>
      </c>
      <c r="E16" s="112">
        <f>-'Expenditure-24mths'!F43</f>
        <v>0</v>
      </c>
      <c r="F16" s="112">
        <f>-'Expenditure-24mths'!G43</f>
        <v>0</v>
      </c>
      <c r="G16" s="112">
        <f>-'Expenditure-24mths'!H43</f>
        <v>0</v>
      </c>
      <c r="H16" s="112">
        <f>-'Expenditure-24mths'!I43</f>
        <v>0</v>
      </c>
      <c r="I16" s="112">
        <f>-'Expenditure-24mths'!J43</f>
        <v>0</v>
      </c>
      <c r="J16" s="112">
        <f>-'Expenditure-24mths'!K43</f>
        <v>0</v>
      </c>
      <c r="K16" s="112">
        <f>-'Expenditure-24mths'!L43</f>
        <v>0</v>
      </c>
      <c r="L16" s="112">
        <f>-'Expenditure-24mths'!M43</f>
        <v>0</v>
      </c>
      <c r="M16" s="112">
        <f>-'Expenditure-24mths'!N43</f>
        <v>0</v>
      </c>
      <c r="N16" s="112">
        <f>-'Expenditure-24mths'!P43</f>
        <v>0</v>
      </c>
      <c r="O16" s="112">
        <f>-'Expenditure-24mths'!Q43</f>
        <v>-80000</v>
      </c>
      <c r="P16" s="112">
        <f>-'Expenditure-24mths'!R43</f>
        <v>0</v>
      </c>
      <c r="Q16" s="112">
        <f>-'Expenditure-24mths'!S43</f>
        <v>0</v>
      </c>
      <c r="R16" s="112">
        <f>-'Expenditure-24mths'!T43</f>
        <v>0</v>
      </c>
      <c r="S16" s="112">
        <f>-'Expenditure-24mths'!U43</f>
        <v>0</v>
      </c>
      <c r="T16" s="112">
        <f>-'Expenditure-24mths'!V43</f>
        <v>0</v>
      </c>
      <c r="U16" s="112">
        <f>-'Expenditure-24mths'!W43</f>
        <v>0</v>
      </c>
      <c r="V16" s="112">
        <f>-'Expenditure-24mths'!X43</f>
        <v>0</v>
      </c>
      <c r="W16" s="112">
        <f>-'Expenditure-24mths'!Y43</f>
        <v>0</v>
      </c>
      <c r="X16" s="112">
        <f>-'Expenditure-24mths'!Z43</f>
        <v>0</v>
      </c>
      <c r="Y16" s="112">
        <f>-'Expenditure-24mths'!AA43</f>
        <v>0</v>
      </c>
    </row>
    <row r="17" spans="1:25" x14ac:dyDescent="0.2">
      <c r="A17" s="504" t="s">
        <v>462</v>
      </c>
      <c r="B17" s="112">
        <f>-'Expenditure-24mths'!C47</f>
        <v>-3500</v>
      </c>
      <c r="C17" s="112">
        <f>-'Expenditure-24mths'!D47</f>
        <v>-3500</v>
      </c>
      <c r="D17" s="112">
        <f>-'Expenditure-24mths'!E47</f>
        <v>-3500</v>
      </c>
      <c r="E17" s="112">
        <f>-'Expenditure-24mths'!F47</f>
        <v>-3500</v>
      </c>
      <c r="F17" s="112">
        <f>-'Expenditure-24mths'!G47</f>
        <v>-3500</v>
      </c>
      <c r="G17" s="112">
        <f>-'Expenditure-24mths'!H47</f>
        <v>-3500</v>
      </c>
      <c r="H17" s="112">
        <f>-'Expenditure-24mths'!I47</f>
        <v>-3500</v>
      </c>
      <c r="I17" s="112">
        <f>-'Expenditure-24mths'!J47</f>
        <v>-3500</v>
      </c>
      <c r="J17" s="112">
        <f>-'Expenditure-24mths'!K47</f>
        <v>-3500</v>
      </c>
      <c r="K17" s="112">
        <f>-'Expenditure-24mths'!L47</f>
        <v>-3500</v>
      </c>
      <c r="L17" s="112">
        <f>-'Expenditure-24mths'!M47</f>
        <v>-3500</v>
      </c>
      <c r="M17" s="112">
        <f>-'Expenditure-24mths'!N47</f>
        <v>-3500</v>
      </c>
      <c r="N17" s="112">
        <f>-'Expenditure-24mths'!P47</f>
        <v>-3500</v>
      </c>
      <c r="O17" s="112">
        <f>-'Expenditure-24mths'!Q47</f>
        <v>-3500</v>
      </c>
      <c r="P17" s="112">
        <f>-'Expenditure-24mths'!R47</f>
        <v>-3500</v>
      </c>
      <c r="Q17" s="112">
        <f>-'Expenditure-24mths'!S47</f>
        <v>-3500</v>
      </c>
      <c r="R17" s="112">
        <f>-'Expenditure-24mths'!T47</f>
        <v>-3500</v>
      </c>
      <c r="S17" s="112">
        <f>-'Expenditure-24mths'!U47</f>
        <v>-3500</v>
      </c>
      <c r="T17" s="112">
        <f>-'Expenditure-24mths'!V47</f>
        <v>-3500</v>
      </c>
      <c r="U17" s="112">
        <f>-'Expenditure-24mths'!W47</f>
        <v>-3500</v>
      </c>
      <c r="V17" s="112">
        <f>-'Expenditure-24mths'!X47</f>
        <v>-3500</v>
      </c>
      <c r="W17" s="112">
        <f>-'Expenditure-24mths'!Y47</f>
        <v>-3500</v>
      </c>
      <c r="X17" s="112">
        <f>-'Expenditure-24mths'!Z47</f>
        <v>-3500</v>
      </c>
      <c r="Y17" s="112">
        <f>-'Expenditure-24mths'!AA47</f>
        <v>-3500</v>
      </c>
    </row>
    <row r="18" spans="1:25" x14ac:dyDescent="0.2">
      <c r="A18" s="504" t="s">
        <v>463</v>
      </c>
      <c r="B18" s="112">
        <f>-'Expenditure-24mths'!C45-'Expenditure-24mths'!C52</f>
        <v>-2000</v>
      </c>
      <c r="C18" s="112">
        <f>-'Expenditure-24mths'!D45-'Expenditure-24mths'!D52</f>
        <v>-2000</v>
      </c>
      <c r="D18" s="112">
        <f>-'Expenditure-24mths'!E45-'Expenditure-24mths'!E52</f>
        <v>-2000</v>
      </c>
      <c r="E18" s="112">
        <f>-'Expenditure-24mths'!F45-'Expenditure-24mths'!F52</f>
        <v>-2000</v>
      </c>
      <c r="F18" s="112">
        <f>-'Expenditure-24mths'!G45-'Expenditure-24mths'!G52</f>
        <v>-2000</v>
      </c>
      <c r="G18" s="112">
        <f>-'Expenditure-24mths'!H45-'Expenditure-24mths'!H52</f>
        <v>-2000</v>
      </c>
      <c r="H18" s="112">
        <f>-'Expenditure-24mths'!I45-'Expenditure-24mths'!I52</f>
        <v>-2000</v>
      </c>
      <c r="I18" s="112">
        <f>-'Expenditure-24mths'!J45-'Expenditure-24mths'!J52</f>
        <v>-2000</v>
      </c>
      <c r="J18" s="112">
        <f>-'Expenditure-24mths'!K45-'Expenditure-24mths'!K52</f>
        <v>-2000</v>
      </c>
      <c r="K18" s="112">
        <f>-'Expenditure-24mths'!L45-'Expenditure-24mths'!L52</f>
        <v>-2000</v>
      </c>
      <c r="L18" s="112">
        <f>-'Expenditure-24mths'!M45-'Expenditure-24mths'!M52</f>
        <v>-2000</v>
      </c>
      <c r="M18" s="112">
        <f>-'Expenditure-24mths'!N45-'Expenditure-24mths'!N52</f>
        <v>-2000</v>
      </c>
      <c r="N18" s="112">
        <f>-'Expenditure-24mths'!P45-'Expenditure-24mths'!P52</f>
        <v>-2000</v>
      </c>
      <c r="O18" s="112">
        <f>-'Expenditure-24mths'!Q45-'Expenditure-24mths'!Q52</f>
        <v>-2000</v>
      </c>
      <c r="P18" s="112">
        <f>-'Expenditure-24mths'!R45-'Expenditure-24mths'!R52</f>
        <v>-2000</v>
      </c>
      <c r="Q18" s="112">
        <f>-'Expenditure-24mths'!S45-'Expenditure-24mths'!S52</f>
        <v>-2000</v>
      </c>
      <c r="R18" s="112">
        <f>-'Expenditure-24mths'!T45-'Expenditure-24mths'!T52</f>
        <v>-2000</v>
      </c>
      <c r="S18" s="112">
        <f>-'Expenditure-24mths'!U45-'Expenditure-24mths'!U52</f>
        <v>-2000</v>
      </c>
      <c r="T18" s="112">
        <f>-'Expenditure-24mths'!V45-'Expenditure-24mths'!V52</f>
        <v>-2000</v>
      </c>
      <c r="U18" s="112">
        <f>-'Expenditure-24mths'!W45-'Expenditure-24mths'!W52</f>
        <v>-2000</v>
      </c>
      <c r="V18" s="112">
        <f>-'Expenditure-24mths'!X45-'Expenditure-24mths'!X52</f>
        <v>-2000</v>
      </c>
      <c r="W18" s="112">
        <f>-'Expenditure-24mths'!Y45-'Expenditure-24mths'!Y52</f>
        <v>-2000</v>
      </c>
      <c r="X18" s="112">
        <f>-'Expenditure-24mths'!Z45-'Expenditure-24mths'!Z52</f>
        <v>-2000</v>
      </c>
      <c r="Y18" s="112">
        <f>-'Expenditure-24mths'!AA45-'Expenditure-24mths'!AA52</f>
        <v>-2000</v>
      </c>
    </row>
    <row r="19" spans="1:25" x14ac:dyDescent="0.2">
      <c r="A19" s="504" t="s">
        <v>171</v>
      </c>
      <c r="B19" s="112">
        <f>-'Expenditure-24mths'!C44+'Expenditure-24mths'!C45+'Expenditure-24mths'!C47+'Expenditure-24mths'!C52+'Expenditure-24mths'!C56</f>
        <v>-26960</v>
      </c>
      <c r="C19" s="112">
        <f>-'Expenditure-24mths'!D44+'Expenditure-24mths'!D45+'Expenditure-24mths'!D47+'Expenditure-24mths'!D52+'Expenditure-24mths'!D56</f>
        <v>-1600</v>
      </c>
      <c r="D19" s="112">
        <f>-'Expenditure-24mths'!E44+'Expenditure-24mths'!E45+'Expenditure-24mths'!E47+'Expenditure-24mths'!E52+'Expenditure-24mths'!E56</f>
        <v>-1600</v>
      </c>
      <c r="E19" s="112">
        <f>-'Expenditure-24mths'!F44+'Expenditure-24mths'!F45+'Expenditure-24mths'!F47+'Expenditure-24mths'!F52+'Expenditure-24mths'!F56</f>
        <v>-1600</v>
      </c>
      <c r="F19" s="112">
        <f>-'Expenditure-24mths'!G44+'Expenditure-24mths'!G45+'Expenditure-24mths'!G47+'Expenditure-24mths'!G52+'Expenditure-24mths'!G56</f>
        <v>-1600</v>
      </c>
      <c r="G19" s="112">
        <f>-'Expenditure-24mths'!H44+'Expenditure-24mths'!H45+'Expenditure-24mths'!H47+'Expenditure-24mths'!H52+'Expenditure-24mths'!H56</f>
        <v>-1600</v>
      </c>
      <c r="H19" s="112">
        <f>-'Expenditure-24mths'!I44+'Expenditure-24mths'!I45+'Expenditure-24mths'!I47+'Expenditure-24mths'!I52+'Expenditure-24mths'!I56</f>
        <v>-1600</v>
      </c>
      <c r="I19" s="112">
        <f>-'Expenditure-24mths'!J44+'Expenditure-24mths'!J45+'Expenditure-24mths'!J47+'Expenditure-24mths'!J52+'Expenditure-24mths'!J56</f>
        <v>-1600</v>
      </c>
      <c r="J19" s="112">
        <f>-'Expenditure-24mths'!K44+'Expenditure-24mths'!K45+'Expenditure-24mths'!K47+'Expenditure-24mths'!K52+'Expenditure-24mths'!K56</f>
        <v>-1600</v>
      </c>
      <c r="K19" s="112">
        <f>-'Expenditure-24mths'!L44+'Expenditure-24mths'!L45+'Expenditure-24mths'!L47+'Expenditure-24mths'!L52+'Expenditure-24mths'!L56</f>
        <v>-1600</v>
      </c>
      <c r="L19" s="112">
        <f>-'Expenditure-24mths'!M44+'Expenditure-24mths'!M45+'Expenditure-24mths'!M47+'Expenditure-24mths'!M52+'Expenditure-24mths'!M56</f>
        <v>-1600</v>
      </c>
      <c r="M19" s="112">
        <f>-'Expenditure-24mths'!N44+'Expenditure-24mths'!N45+'Expenditure-24mths'!N47+'Expenditure-24mths'!N52+'Expenditure-24mths'!N56</f>
        <v>-1600</v>
      </c>
      <c r="N19" s="112">
        <f>-'Expenditure-24mths'!P44+'Expenditure-24mths'!P45+'Expenditure-24mths'!P47+'Expenditure-24mths'!P52+'Expenditure-24mths'!P56</f>
        <v>-1900</v>
      </c>
      <c r="O19" s="112">
        <f>-'Expenditure-24mths'!Q44+'Expenditure-24mths'!Q45+'Expenditure-24mths'!Q47+'Expenditure-24mths'!Q52+'Expenditure-24mths'!Q56</f>
        <v>-1900</v>
      </c>
      <c r="P19" s="112">
        <f>-'Expenditure-24mths'!R44+'Expenditure-24mths'!R45+'Expenditure-24mths'!R47+'Expenditure-24mths'!R52+'Expenditure-24mths'!R56</f>
        <v>-1900</v>
      </c>
      <c r="Q19" s="112">
        <f>-'Expenditure-24mths'!S44+'Expenditure-24mths'!S45+'Expenditure-24mths'!S47+'Expenditure-24mths'!S52+'Expenditure-24mths'!S56</f>
        <v>-1900</v>
      </c>
      <c r="R19" s="112">
        <f>-'Expenditure-24mths'!T44+'Expenditure-24mths'!T45+'Expenditure-24mths'!T47+'Expenditure-24mths'!T52+'Expenditure-24mths'!T56</f>
        <v>-1900</v>
      </c>
      <c r="S19" s="112">
        <f>-'Expenditure-24mths'!U44+'Expenditure-24mths'!U45+'Expenditure-24mths'!U47+'Expenditure-24mths'!U52+'Expenditure-24mths'!U56</f>
        <v>-1900</v>
      </c>
      <c r="T19" s="112">
        <f>-'Expenditure-24mths'!V44+'Expenditure-24mths'!V45+'Expenditure-24mths'!V47+'Expenditure-24mths'!V52+'Expenditure-24mths'!V56</f>
        <v>-1900</v>
      </c>
      <c r="U19" s="112">
        <f>-'Expenditure-24mths'!W44+'Expenditure-24mths'!W45+'Expenditure-24mths'!W47+'Expenditure-24mths'!W52+'Expenditure-24mths'!W56</f>
        <v>-1900</v>
      </c>
      <c r="V19" s="112">
        <f>-'Expenditure-24mths'!X44+'Expenditure-24mths'!X45+'Expenditure-24mths'!X47+'Expenditure-24mths'!X52+'Expenditure-24mths'!X56</f>
        <v>-1900</v>
      </c>
      <c r="W19" s="112">
        <f>-'Expenditure-24mths'!Y44+'Expenditure-24mths'!Y45+'Expenditure-24mths'!Y47+'Expenditure-24mths'!Y52+'Expenditure-24mths'!Y56</f>
        <v>-1900</v>
      </c>
      <c r="X19" s="112">
        <f>-'Expenditure-24mths'!Z44+'Expenditure-24mths'!Z45+'Expenditure-24mths'!Z47+'Expenditure-24mths'!Z52+'Expenditure-24mths'!Z56</f>
        <v>-1900</v>
      </c>
      <c r="Y19" s="112">
        <f>-'Expenditure-24mths'!AA44+'Expenditure-24mths'!AA45+'Expenditure-24mths'!AA47+'Expenditure-24mths'!AA52+'Expenditure-24mths'!AA56</f>
        <v>-1900</v>
      </c>
    </row>
    <row r="20" spans="1:25" x14ac:dyDescent="0.2">
      <c r="A20" s="504" t="s">
        <v>424</v>
      </c>
      <c r="B20" s="112">
        <f>-'Expenditure-24mths'!C56</f>
        <v>-100</v>
      </c>
      <c r="C20" s="112">
        <f>-'Expenditure-24mths'!D56</f>
        <v>-100</v>
      </c>
      <c r="D20" s="112">
        <f>-'Expenditure-24mths'!E56</f>
        <v>-100</v>
      </c>
      <c r="E20" s="112">
        <f>-'Expenditure-24mths'!F56</f>
        <v>-100</v>
      </c>
      <c r="F20" s="112">
        <f>-'Expenditure-24mths'!G56</f>
        <v>-100</v>
      </c>
      <c r="G20" s="112">
        <f>-'Expenditure-24mths'!H56</f>
        <v>-100</v>
      </c>
      <c r="H20" s="112">
        <f>-'Expenditure-24mths'!I56</f>
        <v>-100</v>
      </c>
      <c r="I20" s="112">
        <f>-'Expenditure-24mths'!J56</f>
        <v>-100</v>
      </c>
      <c r="J20" s="112">
        <f>-'Expenditure-24mths'!K56</f>
        <v>-100</v>
      </c>
      <c r="K20" s="112">
        <f>-'Expenditure-24mths'!L56</f>
        <v>-100</v>
      </c>
      <c r="L20" s="112">
        <f>-'Expenditure-24mths'!M56</f>
        <v>-100</v>
      </c>
      <c r="M20" s="112">
        <f>-'Expenditure-24mths'!N56</f>
        <v>-100</v>
      </c>
      <c r="N20" s="112">
        <f>-'Expenditure-24mths'!P56</f>
        <v>-100</v>
      </c>
      <c r="O20" s="112">
        <f>-'Expenditure-24mths'!Q56</f>
        <v>-100</v>
      </c>
      <c r="P20" s="112">
        <f>-'Expenditure-24mths'!R56</f>
        <v>-100</v>
      </c>
      <c r="Q20" s="112">
        <f>-'Expenditure-24mths'!S56</f>
        <v>-100</v>
      </c>
      <c r="R20" s="112">
        <f>-'Expenditure-24mths'!T56</f>
        <v>-100</v>
      </c>
      <c r="S20" s="112">
        <f>-'Expenditure-24mths'!U56</f>
        <v>-100</v>
      </c>
      <c r="T20" s="112">
        <f>-'Expenditure-24mths'!V56</f>
        <v>-100</v>
      </c>
      <c r="U20" s="112">
        <f>-'Expenditure-24mths'!W56</f>
        <v>-100</v>
      </c>
      <c r="V20" s="112">
        <f>-'Expenditure-24mths'!X56</f>
        <v>-100</v>
      </c>
      <c r="W20" s="112">
        <f>-'Expenditure-24mths'!Y56</f>
        <v>-100</v>
      </c>
      <c r="X20" s="112">
        <f>-'Expenditure-24mths'!Z56</f>
        <v>-100</v>
      </c>
      <c r="Y20" s="112">
        <f>-'Expenditure-24mths'!AA56</f>
        <v>-100</v>
      </c>
    </row>
    <row r="21" spans="1:25" x14ac:dyDescent="0.2">
      <c r="A21" s="505" t="s">
        <v>464</v>
      </c>
      <c r="B21" s="506">
        <f>SUM(B13:B20)</f>
        <v>-141460</v>
      </c>
      <c r="C21" s="506">
        <f>SUM(C13:C20)</f>
        <v>-156900</v>
      </c>
      <c r="D21" s="506">
        <f t="shared" ref="D21:Y21" si="3">SUM(D13:D20)</f>
        <v>-76900</v>
      </c>
      <c r="E21" s="506">
        <f t="shared" si="3"/>
        <v>-108900</v>
      </c>
      <c r="F21" s="506">
        <f t="shared" si="3"/>
        <v>-76900</v>
      </c>
      <c r="G21" s="506">
        <f t="shared" si="3"/>
        <v>-76900</v>
      </c>
      <c r="H21" s="506">
        <f t="shared" si="3"/>
        <v>-84400</v>
      </c>
      <c r="I21" s="506">
        <f t="shared" si="3"/>
        <v>-76900</v>
      </c>
      <c r="J21" s="506">
        <f t="shared" si="3"/>
        <v>-76900</v>
      </c>
      <c r="K21" s="506">
        <f t="shared" si="3"/>
        <v>-81900</v>
      </c>
      <c r="L21" s="506">
        <f t="shared" si="3"/>
        <v>-76900</v>
      </c>
      <c r="M21" s="506">
        <f t="shared" si="3"/>
        <v>-76900</v>
      </c>
      <c r="N21" s="506">
        <f t="shared" si="3"/>
        <v>-196300</v>
      </c>
      <c r="O21" s="506">
        <f t="shared" si="3"/>
        <v>-178800</v>
      </c>
      <c r="P21" s="506">
        <f t="shared" si="3"/>
        <v>-98800</v>
      </c>
      <c r="Q21" s="506">
        <f t="shared" si="3"/>
        <v>-130800</v>
      </c>
      <c r="R21" s="506">
        <f t="shared" si="3"/>
        <v>-98800</v>
      </c>
      <c r="S21" s="506">
        <f t="shared" si="3"/>
        <v>-98800</v>
      </c>
      <c r="T21" s="506">
        <f t="shared" si="3"/>
        <v>-106300</v>
      </c>
      <c r="U21" s="506">
        <f t="shared" si="3"/>
        <v>-98800</v>
      </c>
      <c r="V21" s="506">
        <f t="shared" si="3"/>
        <v>-98800</v>
      </c>
      <c r="W21" s="506">
        <f t="shared" si="3"/>
        <v>-103800</v>
      </c>
      <c r="X21" s="506">
        <f t="shared" si="3"/>
        <v>-98800</v>
      </c>
      <c r="Y21" s="506">
        <f t="shared" si="3"/>
        <v>-98800</v>
      </c>
    </row>
    <row r="23" spans="1:25" x14ac:dyDescent="0.2">
      <c r="A23" s="505" t="s">
        <v>465</v>
      </c>
    </row>
    <row r="24" spans="1:25" x14ac:dyDescent="0.2">
      <c r="A24" s="504" t="s">
        <v>466</v>
      </c>
      <c r="B24" s="112">
        <f>-'Expenditure-24mths'!C7</f>
        <v>-40584</v>
      </c>
      <c r="C24" s="112">
        <f>-'Expenditure-24mths'!D7</f>
        <v>-634</v>
      </c>
      <c r="D24" s="112">
        <f>-'Expenditure-24mths'!E7</f>
        <v>-634</v>
      </c>
      <c r="E24" s="112">
        <f>-'Expenditure-24mths'!F7</f>
        <v>-634</v>
      </c>
      <c r="F24" s="112">
        <f>-'Expenditure-24mths'!G7</f>
        <v>-634</v>
      </c>
      <c r="G24" s="112">
        <f>-'Expenditure-24mths'!H7</f>
        <v>-634</v>
      </c>
      <c r="H24" s="112">
        <f>-'Expenditure-24mths'!I7</f>
        <v>-634</v>
      </c>
      <c r="I24" s="112">
        <f>-'Expenditure-24mths'!J7</f>
        <v>-634</v>
      </c>
      <c r="J24" s="112">
        <f>-'Expenditure-24mths'!K7</f>
        <v>-634</v>
      </c>
      <c r="K24" s="112">
        <f>-'Expenditure-24mths'!L7</f>
        <v>-634</v>
      </c>
      <c r="L24" s="112">
        <f>-'Expenditure-24mths'!M7</f>
        <v>-634</v>
      </c>
      <c r="M24" s="112">
        <f>-'Expenditure-24mths'!N7</f>
        <v>-634</v>
      </c>
      <c r="N24" s="112">
        <f>-'Expenditure-24mths'!P7</f>
        <v>-6484</v>
      </c>
      <c r="O24" s="112">
        <f>-'Expenditure-24mths'!Q7</f>
        <v>-634</v>
      </c>
      <c r="P24" s="112">
        <f>-'Expenditure-24mths'!R7</f>
        <v>-634</v>
      </c>
      <c r="Q24" s="112">
        <f>-'Expenditure-24mths'!S7</f>
        <v>-634</v>
      </c>
      <c r="R24" s="112">
        <f>-'Expenditure-24mths'!T7</f>
        <v>-634</v>
      </c>
      <c r="S24" s="112">
        <f>-'Expenditure-24mths'!U7</f>
        <v>-634</v>
      </c>
      <c r="T24" s="112">
        <f>-'Expenditure-24mths'!V7</f>
        <v>-634</v>
      </c>
      <c r="U24" s="112">
        <f>-'Expenditure-24mths'!W7</f>
        <v>-634</v>
      </c>
      <c r="V24" s="112">
        <f>-'Expenditure-24mths'!X7</f>
        <v>-634</v>
      </c>
      <c r="W24" s="112">
        <f>-'Expenditure-24mths'!Y7</f>
        <v>-634</v>
      </c>
      <c r="X24" s="112">
        <f>-'Expenditure-24mths'!Z7</f>
        <v>-634</v>
      </c>
      <c r="Y24" s="112">
        <f>-'Expenditure-24mths'!AA7</f>
        <v>-634</v>
      </c>
    </row>
    <row r="25" spans="1:25" x14ac:dyDescent="0.2">
      <c r="A25" s="498" t="s">
        <v>464</v>
      </c>
      <c r="B25" s="112">
        <f>B24</f>
        <v>-40584</v>
      </c>
      <c r="C25" s="112">
        <f t="shared" ref="C25:Y25" si="4">C24</f>
        <v>-634</v>
      </c>
      <c r="D25" s="112">
        <f t="shared" si="4"/>
        <v>-634</v>
      </c>
      <c r="E25" s="112">
        <f t="shared" si="4"/>
        <v>-634</v>
      </c>
      <c r="F25" s="112">
        <f t="shared" si="4"/>
        <v>-634</v>
      </c>
      <c r="G25" s="112">
        <f t="shared" si="4"/>
        <v>-634</v>
      </c>
      <c r="H25" s="112">
        <f t="shared" si="4"/>
        <v>-634</v>
      </c>
      <c r="I25" s="112">
        <f t="shared" si="4"/>
        <v>-634</v>
      </c>
      <c r="J25" s="112">
        <f t="shared" si="4"/>
        <v>-634</v>
      </c>
      <c r="K25" s="112">
        <f t="shared" si="4"/>
        <v>-634</v>
      </c>
      <c r="L25" s="112">
        <f t="shared" si="4"/>
        <v>-634</v>
      </c>
      <c r="M25" s="112">
        <f t="shared" si="4"/>
        <v>-634</v>
      </c>
      <c r="N25" s="112">
        <f t="shared" si="4"/>
        <v>-6484</v>
      </c>
      <c r="O25" s="112">
        <f t="shared" si="4"/>
        <v>-634</v>
      </c>
      <c r="P25" s="112">
        <f t="shared" si="4"/>
        <v>-634</v>
      </c>
      <c r="Q25" s="112">
        <f t="shared" si="4"/>
        <v>-634</v>
      </c>
      <c r="R25" s="112">
        <f t="shared" si="4"/>
        <v>-634</v>
      </c>
      <c r="S25" s="112">
        <f t="shared" si="4"/>
        <v>-634</v>
      </c>
      <c r="T25" s="112">
        <f t="shared" si="4"/>
        <v>-634</v>
      </c>
      <c r="U25" s="112">
        <f t="shared" si="4"/>
        <v>-634</v>
      </c>
      <c r="V25" s="112">
        <f t="shared" si="4"/>
        <v>-634</v>
      </c>
      <c r="W25" s="112">
        <f t="shared" si="4"/>
        <v>-634</v>
      </c>
      <c r="X25" s="112">
        <f t="shared" si="4"/>
        <v>-634</v>
      </c>
      <c r="Y25" s="112">
        <f t="shared" si="4"/>
        <v>-634</v>
      </c>
    </row>
    <row r="27" spans="1:25" x14ac:dyDescent="0.2">
      <c r="A27" s="498" t="s">
        <v>467</v>
      </c>
      <c r="B27" s="506">
        <f>B21+B25</f>
        <v>-182044</v>
      </c>
      <c r="C27" s="506">
        <f t="shared" ref="C27:Y27" si="5">C21+C25</f>
        <v>-157534</v>
      </c>
      <c r="D27" s="506">
        <f t="shared" si="5"/>
        <v>-77534</v>
      </c>
      <c r="E27" s="506">
        <f t="shared" si="5"/>
        <v>-109534</v>
      </c>
      <c r="F27" s="506">
        <f t="shared" si="5"/>
        <v>-77534</v>
      </c>
      <c r="G27" s="506">
        <f t="shared" si="5"/>
        <v>-77534</v>
      </c>
      <c r="H27" s="506">
        <f t="shared" si="5"/>
        <v>-85034</v>
      </c>
      <c r="I27" s="506">
        <f t="shared" si="5"/>
        <v>-77534</v>
      </c>
      <c r="J27" s="506">
        <f t="shared" si="5"/>
        <v>-77534</v>
      </c>
      <c r="K27" s="506">
        <f t="shared" si="5"/>
        <v>-82534</v>
      </c>
      <c r="L27" s="506">
        <f t="shared" si="5"/>
        <v>-77534</v>
      </c>
      <c r="M27" s="506">
        <f t="shared" si="5"/>
        <v>-77534</v>
      </c>
      <c r="N27" s="506">
        <f t="shared" si="5"/>
        <v>-202784</v>
      </c>
      <c r="O27" s="506">
        <f t="shared" si="5"/>
        <v>-179434</v>
      </c>
      <c r="P27" s="506">
        <f t="shared" si="5"/>
        <v>-99434</v>
      </c>
      <c r="Q27" s="506">
        <f t="shared" si="5"/>
        <v>-131434</v>
      </c>
      <c r="R27" s="506">
        <f>R21+R25</f>
        <v>-99434</v>
      </c>
      <c r="S27" s="506">
        <f t="shared" si="5"/>
        <v>-99434</v>
      </c>
      <c r="T27" s="506">
        <f t="shared" si="5"/>
        <v>-106934</v>
      </c>
      <c r="U27" s="506">
        <f t="shared" si="5"/>
        <v>-99434</v>
      </c>
      <c r="V27" s="506">
        <f t="shared" si="5"/>
        <v>-99434</v>
      </c>
      <c r="W27" s="506">
        <f t="shared" si="5"/>
        <v>-104434</v>
      </c>
      <c r="X27" s="506">
        <f t="shared" si="5"/>
        <v>-99434</v>
      </c>
      <c r="Y27" s="506">
        <f t="shared" si="5"/>
        <v>-99434</v>
      </c>
    </row>
    <row r="28" spans="1:25" x14ac:dyDescent="0.2">
      <c r="A28" s="498" t="s">
        <v>468</v>
      </c>
      <c r="B28" s="506">
        <f>B10+B27</f>
        <v>823531</v>
      </c>
      <c r="C28" s="506">
        <f t="shared" ref="C28:Y28" si="6">C10+C27</f>
        <v>694129.5</v>
      </c>
      <c r="D28" s="506">
        <f t="shared" si="6"/>
        <v>647551</v>
      </c>
      <c r="E28" s="506">
        <f t="shared" si="6"/>
        <v>717007</v>
      </c>
      <c r="F28" s="506">
        <f t="shared" si="6"/>
        <v>836372.5</v>
      </c>
      <c r="G28" s="506">
        <f t="shared" si="6"/>
        <v>975500</v>
      </c>
      <c r="H28" s="506">
        <f t="shared" si="6"/>
        <v>1128880.5</v>
      </c>
      <c r="I28" s="506">
        <f t="shared" si="6"/>
        <v>1313666</v>
      </c>
      <c r="J28" s="506">
        <f t="shared" si="6"/>
        <v>1524780</v>
      </c>
      <c r="K28" s="506">
        <f t="shared" si="6"/>
        <v>1759815</v>
      </c>
      <c r="L28" s="506">
        <f t="shared" si="6"/>
        <v>2031643.5</v>
      </c>
      <c r="M28" s="506">
        <f t="shared" si="6"/>
        <v>2338418</v>
      </c>
      <c r="N28" s="506">
        <f t="shared" si="6"/>
        <v>2558453.5</v>
      </c>
      <c r="O28" s="506">
        <f t="shared" si="6"/>
        <v>2844214.5</v>
      </c>
      <c r="P28" s="506">
        <f t="shared" si="6"/>
        <v>3256515</v>
      </c>
      <c r="Q28" s="506">
        <f t="shared" si="6"/>
        <v>3688060.5</v>
      </c>
      <c r="R28" s="506">
        <f t="shared" si="6"/>
        <v>7208005.5</v>
      </c>
      <c r="S28" s="506">
        <f t="shared" si="6"/>
        <v>7789937</v>
      </c>
      <c r="T28" s="506">
        <f t="shared" si="6"/>
        <v>8432531</v>
      </c>
      <c r="U28" s="506">
        <f t="shared" si="6"/>
        <v>9157635</v>
      </c>
      <c r="V28" s="506">
        <f t="shared" si="6"/>
        <v>9965216.5</v>
      </c>
      <c r="W28" s="506">
        <f t="shared" si="6"/>
        <v>10858574</v>
      </c>
      <c r="X28" s="506">
        <f t="shared" si="6"/>
        <v>11995924</v>
      </c>
      <c r="Y28" s="506">
        <f t="shared" si="6"/>
        <v>13257018.5</v>
      </c>
    </row>
    <row r="30" spans="1:25" x14ac:dyDescent="0.2">
      <c r="A30" s="507" t="s">
        <v>470</v>
      </c>
      <c r="B30" s="508">
        <f t="shared" ref="B30:Y30" si="7">1-B31</f>
        <v>0.85</v>
      </c>
      <c r="C30" s="508">
        <f t="shared" si="7"/>
        <v>0.85</v>
      </c>
      <c r="D30" s="508">
        <f t="shared" si="7"/>
        <v>0.85</v>
      </c>
      <c r="E30" s="508">
        <f t="shared" si="7"/>
        <v>0.85</v>
      </c>
      <c r="F30" s="508">
        <f t="shared" si="7"/>
        <v>0.85</v>
      </c>
      <c r="G30" s="508">
        <f t="shared" si="7"/>
        <v>0.85</v>
      </c>
      <c r="H30" s="508">
        <f t="shared" si="7"/>
        <v>0.85</v>
      </c>
      <c r="I30" s="508">
        <f t="shared" si="7"/>
        <v>0.85</v>
      </c>
      <c r="J30" s="508">
        <f t="shared" si="7"/>
        <v>0.85</v>
      </c>
      <c r="K30" s="508">
        <f t="shared" si="7"/>
        <v>0.85</v>
      </c>
      <c r="L30" s="508">
        <f t="shared" si="7"/>
        <v>0.85</v>
      </c>
      <c r="M30" s="508">
        <f t="shared" si="7"/>
        <v>0.85</v>
      </c>
      <c r="N30" s="508">
        <f t="shared" si="7"/>
        <v>0.85</v>
      </c>
      <c r="O30" s="508">
        <f t="shared" si="7"/>
        <v>0.85</v>
      </c>
      <c r="P30" s="508">
        <f t="shared" si="7"/>
        <v>0.85</v>
      </c>
      <c r="Q30" s="508">
        <f t="shared" si="7"/>
        <v>0.85</v>
      </c>
      <c r="R30" s="508">
        <f t="shared" si="7"/>
        <v>0.85</v>
      </c>
      <c r="S30" s="508">
        <f t="shared" si="7"/>
        <v>0.85</v>
      </c>
      <c r="T30" s="508">
        <f t="shared" si="7"/>
        <v>0.85</v>
      </c>
      <c r="U30" s="508">
        <f t="shared" si="7"/>
        <v>0.85</v>
      </c>
      <c r="V30" s="508">
        <f t="shared" si="7"/>
        <v>0.85</v>
      </c>
      <c r="W30" s="508">
        <f t="shared" si="7"/>
        <v>0.85</v>
      </c>
      <c r="X30" s="508">
        <f t="shared" si="7"/>
        <v>0.75</v>
      </c>
      <c r="Y30" s="508">
        <f t="shared" si="7"/>
        <v>0.75</v>
      </c>
    </row>
    <row r="31" spans="1:25" x14ac:dyDescent="0.2">
      <c r="A31" s="507" t="s">
        <v>469</v>
      </c>
      <c r="B31" s="515">
        <v>0.15</v>
      </c>
      <c r="C31" s="515">
        <v>0.15</v>
      </c>
      <c r="D31" s="515">
        <v>0.15</v>
      </c>
      <c r="E31" s="515">
        <v>0.15</v>
      </c>
      <c r="F31" s="515">
        <v>0.15</v>
      </c>
      <c r="G31" s="515">
        <v>0.15</v>
      </c>
      <c r="H31" s="515">
        <v>0.15</v>
      </c>
      <c r="I31" s="515">
        <v>0.15</v>
      </c>
      <c r="J31" s="515">
        <v>0.15</v>
      </c>
      <c r="K31" s="515">
        <v>0.15</v>
      </c>
      <c r="L31" s="515">
        <v>0.15</v>
      </c>
      <c r="M31" s="515">
        <v>0.15</v>
      </c>
      <c r="N31" s="515">
        <v>0.15</v>
      </c>
      <c r="O31" s="515">
        <v>0.15</v>
      </c>
      <c r="P31" s="515">
        <v>0.15</v>
      </c>
      <c r="Q31" s="515">
        <v>0.15</v>
      </c>
      <c r="R31" s="515">
        <v>0.15</v>
      </c>
      <c r="S31" s="515">
        <v>0.15</v>
      </c>
      <c r="T31" s="515">
        <v>0.15</v>
      </c>
      <c r="U31" s="515">
        <v>0.15</v>
      </c>
      <c r="V31" s="515">
        <v>0.15</v>
      </c>
      <c r="W31" s="515">
        <v>0.15</v>
      </c>
      <c r="X31" s="515">
        <v>0.25</v>
      </c>
      <c r="Y31" s="515">
        <v>0.25</v>
      </c>
    </row>
  </sheetData>
  <conditionalFormatting sqref="B28">
    <cfRule type="cellIs" dxfId="1" priority="2" stopIfTrue="1" operator="lessThan">
      <formula>0</formula>
    </cfRule>
  </conditionalFormatting>
  <conditionalFormatting sqref="B28:Y28">
    <cfRule type="cellIs" dxfId="0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4</vt:i4>
      </vt:variant>
    </vt:vector>
  </HeadingPairs>
  <TitlesOfParts>
    <vt:vector size="21" baseType="lpstr">
      <vt:lpstr>Overview</vt:lpstr>
      <vt:lpstr>Revenue</vt:lpstr>
      <vt:lpstr>Bottom Up Revenue-24mths</vt:lpstr>
      <vt:lpstr>Manpower</vt:lpstr>
      <vt:lpstr>Expenditure-24mths</vt:lpstr>
      <vt:lpstr>Expenditure</vt:lpstr>
      <vt:lpstr>Costing</vt:lpstr>
      <vt:lpstr>Inputs</vt:lpstr>
      <vt:lpstr>Cashflow Budget</vt:lpstr>
      <vt:lpstr>Financials</vt:lpstr>
      <vt:lpstr>Investor ROI and dilution</vt:lpstr>
      <vt:lpstr>Valuation sensitivity</vt:lpstr>
      <vt:lpstr>Charts</vt:lpstr>
      <vt:lpstr>Valuation - VC method</vt:lpstr>
      <vt:lpstr>Business model charts</vt:lpstr>
      <vt:lpstr>Comparables</vt:lpstr>
      <vt:lpstr>Actual</vt:lpstr>
      <vt:lpstr>DiscountEnd1Middle2</vt:lpstr>
      <vt:lpstr>DiscountPeriods</vt:lpstr>
      <vt:lpstr>new</vt:lpstr>
      <vt:lpstr>PortionInDeal</vt:lpstr>
    </vt:vector>
  </TitlesOfParts>
  <Company>Parallax Capital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Abrams</dc:creator>
  <cp:lastModifiedBy>Douglas</cp:lastModifiedBy>
  <dcterms:created xsi:type="dcterms:W3CDTF">2001-09-10T14:03:09Z</dcterms:created>
  <dcterms:modified xsi:type="dcterms:W3CDTF">2019-03-04T10:15:51Z</dcterms:modified>
</cp:coreProperties>
</file>